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reasuryfp003\users$\susan.steward\Desktop\"/>
    </mc:Choice>
  </mc:AlternateContent>
  <workbookProtection workbookAlgorithmName="SHA-512" workbookHashValue="VkQ9F7FrIu5w0pWQVmE0oMGgL/qeuGqsz/NNJmfFyXlHx1d48Z4O2g+3howkN1enKDmb1QrGzbFPY/5rrPJI/Q==" workbookSaltValue="K8q5kRnFnMAtmhpXnLk5Yw==" workbookSpinCount="100000" lockStructure="1"/>
  <bookViews>
    <workbookView xWindow="0" yWindow="0" windowWidth="19200" windowHeight="6468"/>
  </bookViews>
  <sheets>
    <sheet name="Disposable Income Calculator" sheetId="1" r:id="rId1"/>
    <sheet name="Sheet1" sheetId="7" state="hidden" r:id="rId2"/>
    <sheet name="Federal" sheetId="5" state="hidden" r:id="rId3"/>
    <sheet name="State" sheetId="6" state="hidden" r:id="rId4"/>
    <sheet name="Health" sheetId="2" state="hidden" r:id="rId5"/>
    <sheet name="Dental" sheetId="3" state="hidden" r:id="rId6"/>
    <sheet name="Vision" sheetId="4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4" i="5" l="1"/>
  <c r="J5" i="7" l="1"/>
  <c r="I5" i="7"/>
  <c r="I3" i="7"/>
  <c r="C2" i="7"/>
  <c r="E8" i="7"/>
  <c r="E10" i="7" s="1"/>
  <c r="E12" i="7" s="1"/>
  <c r="E14" i="7" s="1"/>
  <c r="E6" i="7"/>
  <c r="B3" i="7"/>
  <c r="C3" i="7" s="1"/>
  <c r="B4" i="7" s="1"/>
  <c r="C4" i="7" s="1"/>
  <c r="B5" i="7" s="1"/>
  <c r="I50" i="6" l="1"/>
  <c r="D43" i="6"/>
  <c r="S44" i="6"/>
  <c r="N44" i="6"/>
  <c r="P53" i="6" s="1"/>
  <c r="I44" i="6"/>
  <c r="D44" i="6"/>
  <c r="I43" i="6"/>
  <c r="H46" i="6"/>
  <c r="I46" i="6" s="1"/>
  <c r="C5" i="7" l="1"/>
  <c r="B6" i="7" s="1"/>
  <c r="G50" i="6"/>
  <c r="P55" i="6"/>
  <c r="M55" i="6"/>
  <c r="P50" i="6"/>
  <c r="P51" i="6"/>
  <c r="P52" i="6"/>
  <c r="P54" i="6"/>
  <c r="P49" i="6"/>
  <c r="M50" i="6"/>
  <c r="M51" i="6"/>
  <c r="M52" i="6"/>
  <c r="M54" i="6"/>
  <c r="M49" i="6"/>
  <c r="T38" i="6"/>
  <c r="T37" i="6"/>
  <c r="T39" i="6" s="1"/>
  <c r="E60" i="6" s="1"/>
  <c r="T36" i="6"/>
  <c r="T35" i="6"/>
  <c r="T34" i="6"/>
  <c r="T33" i="6"/>
  <c r="O38" i="6"/>
  <c r="O37" i="6"/>
  <c r="O39" i="6" s="1"/>
  <c r="E58" i="6" s="1"/>
  <c r="O36" i="6"/>
  <c r="O35" i="6"/>
  <c r="O34" i="6"/>
  <c r="O33" i="6"/>
  <c r="J38" i="6"/>
  <c r="J39" i="6" s="1"/>
  <c r="E59" i="6" s="1"/>
  <c r="J36" i="6"/>
  <c r="J35" i="6"/>
  <c r="J34" i="6"/>
  <c r="J33" i="6"/>
  <c r="E34" i="6"/>
  <c r="E35" i="6"/>
  <c r="E36" i="6"/>
  <c r="E39" i="6" s="1"/>
  <c r="E57" i="6" s="1"/>
  <c r="E37" i="6"/>
  <c r="E38" i="6"/>
  <c r="E33" i="6"/>
  <c r="E56" i="6"/>
  <c r="E55" i="6"/>
  <c r="T31" i="6"/>
  <c r="T30" i="6"/>
  <c r="T29" i="6"/>
  <c r="T28" i="6"/>
  <c r="T27" i="6"/>
  <c r="T26" i="6"/>
  <c r="T32" i="6" s="1"/>
  <c r="O27" i="6"/>
  <c r="O28" i="6"/>
  <c r="O29" i="6"/>
  <c r="O30" i="6"/>
  <c r="O32" i="6" s="1"/>
  <c r="E54" i="6" s="1"/>
  <c r="O31" i="6"/>
  <c r="O26" i="6"/>
  <c r="J32" i="6"/>
  <c r="E32" i="6"/>
  <c r="E53" i="6" s="1"/>
  <c r="T25" i="6"/>
  <c r="E52" i="6" s="1"/>
  <c r="J31" i="6"/>
  <c r="J29" i="6"/>
  <c r="J28" i="6"/>
  <c r="J27" i="6"/>
  <c r="J26" i="6"/>
  <c r="E27" i="6"/>
  <c r="E28" i="6"/>
  <c r="E29" i="6"/>
  <c r="E30" i="6"/>
  <c r="E31" i="6"/>
  <c r="E26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49" i="6"/>
  <c r="H50" i="6"/>
  <c r="J22" i="6"/>
  <c r="J25" i="6" s="1"/>
  <c r="E51" i="6" s="1"/>
  <c r="O23" i="6"/>
  <c r="O25" i="6" s="1"/>
  <c r="E50" i="6" s="1"/>
  <c r="S45" i="6"/>
  <c r="N45" i="6"/>
  <c r="I45" i="6"/>
  <c r="D45" i="6"/>
  <c r="S43" i="6"/>
  <c r="N43" i="6"/>
  <c r="S42" i="6"/>
  <c r="N42" i="6"/>
  <c r="I42" i="6"/>
  <c r="D42" i="6"/>
  <c r="E21" i="6" s="1"/>
  <c r="S41" i="6"/>
  <c r="N41" i="6"/>
  <c r="I41" i="6"/>
  <c r="D41" i="6"/>
  <c r="S40" i="6"/>
  <c r="N40" i="6"/>
  <c r="I40" i="6"/>
  <c r="D40" i="6"/>
  <c r="E19" i="6" s="1"/>
  <c r="S38" i="6"/>
  <c r="N38" i="6"/>
  <c r="I38" i="6"/>
  <c r="D38" i="6"/>
  <c r="S37" i="6"/>
  <c r="N37" i="6"/>
  <c r="I37" i="6"/>
  <c r="D37" i="6"/>
  <c r="S36" i="6"/>
  <c r="N36" i="6"/>
  <c r="I36" i="6"/>
  <c r="D36" i="6"/>
  <c r="S35" i="6"/>
  <c r="N35" i="6"/>
  <c r="I35" i="6"/>
  <c r="D35" i="6"/>
  <c r="S34" i="6"/>
  <c r="N34" i="6"/>
  <c r="I34" i="6"/>
  <c r="D34" i="6"/>
  <c r="S33" i="6"/>
  <c r="N33" i="6"/>
  <c r="I33" i="6"/>
  <c r="D33" i="6"/>
  <c r="S23" i="6"/>
  <c r="T23" i="6" s="1"/>
  <c r="N23" i="6"/>
  <c r="I23" i="6"/>
  <c r="D23" i="6"/>
  <c r="E23" i="6" s="1"/>
  <c r="S30" i="6"/>
  <c r="N30" i="6"/>
  <c r="I30" i="6"/>
  <c r="D30" i="6"/>
  <c r="S31" i="6"/>
  <c r="S29" i="6"/>
  <c r="S28" i="6"/>
  <c r="S27" i="6"/>
  <c r="S26" i="6"/>
  <c r="S24" i="6"/>
  <c r="T24" i="6" s="1"/>
  <c r="S22" i="6"/>
  <c r="T22" i="6" s="1"/>
  <c r="S21" i="6"/>
  <c r="T21" i="6" s="1"/>
  <c r="S20" i="6"/>
  <c r="T20" i="6" s="1"/>
  <c r="S19" i="6"/>
  <c r="T19" i="6" s="1"/>
  <c r="N24" i="6"/>
  <c r="O24" i="6" s="1"/>
  <c r="N22" i="6"/>
  <c r="O22" i="6" s="1"/>
  <c r="N21" i="6"/>
  <c r="O21" i="6" s="1"/>
  <c r="N20" i="6"/>
  <c r="O20" i="6" s="1"/>
  <c r="N19" i="6"/>
  <c r="O19" i="6" s="1"/>
  <c r="I24" i="6"/>
  <c r="J24" i="6" s="1"/>
  <c r="I22" i="6"/>
  <c r="I21" i="6"/>
  <c r="J21" i="6" s="1"/>
  <c r="I20" i="6"/>
  <c r="J20" i="6" s="1"/>
  <c r="I19" i="6"/>
  <c r="J19" i="6" s="1"/>
  <c r="N31" i="6"/>
  <c r="N29" i="6"/>
  <c r="N28" i="6"/>
  <c r="N27" i="6"/>
  <c r="N26" i="6"/>
  <c r="I31" i="6"/>
  <c r="I29" i="6"/>
  <c r="I28" i="6"/>
  <c r="I27" i="6"/>
  <c r="I26" i="6"/>
  <c r="D31" i="6"/>
  <c r="D29" i="6"/>
  <c r="D28" i="6"/>
  <c r="D27" i="6"/>
  <c r="D26" i="6"/>
  <c r="D24" i="6"/>
  <c r="E24" i="6" s="1"/>
  <c r="D22" i="6"/>
  <c r="E22" i="6" s="1"/>
  <c r="E25" i="6" s="1"/>
  <c r="D21" i="6"/>
  <c r="D20" i="6"/>
  <c r="E20" i="6" s="1"/>
  <c r="D19" i="6"/>
  <c r="C6" i="7" l="1"/>
  <c r="B7" i="7" s="1"/>
  <c r="E49" i="6"/>
  <c r="J50" i="6"/>
  <c r="J4" i="1"/>
  <c r="L4" i="6"/>
  <c r="L6" i="6" s="1"/>
  <c r="L3" i="6"/>
  <c r="L13" i="6" s="1"/>
  <c r="H5" i="5"/>
  <c r="N3" i="5"/>
  <c r="N2" i="5"/>
  <c r="D3" i="3"/>
  <c r="D4" i="3"/>
  <c r="D5" i="3"/>
  <c r="D6" i="3"/>
  <c r="D7" i="3"/>
  <c r="D8" i="3"/>
  <c r="D9" i="3"/>
  <c r="D2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2" i="2"/>
  <c r="H12" i="6"/>
  <c r="H11" i="6"/>
  <c r="H10" i="6"/>
  <c r="H9" i="6"/>
  <c r="H8" i="6"/>
  <c r="H7" i="6"/>
  <c r="H6" i="6"/>
  <c r="H5" i="6"/>
  <c r="H4" i="6"/>
  <c r="H12" i="5"/>
  <c r="H11" i="5"/>
  <c r="H10" i="5"/>
  <c r="H9" i="5"/>
  <c r="H8" i="5"/>
  <c r="H7" i="5"/>
  <c r="H6" i="5"/>
  <c r="J9" i="1"/>
  <c r="J7" i="1"/>
  <c r="I16" i="1"/>
  <c r="I17" i="1" s="1"/>
  <c r="I18" i="1" s="1"/>
  <c r="J5" i="4"/>
  <c r="D5" i="4" s="1"/>
  <c r="C5" i="4"/>
  <c r="J4" i="4"/>
  <c r="D4" i="4" s="1"/>
  <c r="J3" i="4"/>
  <c r="C3" i="4" s="1"/>
  <c r="J2" i="4"/>
  <c r="D2" i="4" s="1"/>
  <c r="L17" i="2"/>
  <c r="E17" i="2" s="1"/>
  <c r="L16" i="2"/>
  <c r="F16" i="2" s="1"/>
  <c r="L15" i="2"/>
  <c r="F15" i="2" s="1"/>
  <c r="L14" i="2"/>
  <c r="F14" i="2" s="1"/>
  <c r="L13" i="2"/>
  <c r="E13" i="2" s="1"/>
  <c r="L12" i="2"/>
  <c r="F12" i="2" s="1"/>
  <c r="E12" i="2"/>
  <c r="L11" i="2"/>
  <c r="F11" i="2" s="1"/>
  <c r="L10" i="2"/>
  <c r="F10" i="2" s="1"/>
  <c r="L9" i="3"/>
  <c r="E9" i="3" s="1"/>
  <c r="L8" i="3"/>
  <c r="F8" i="3" s="1"/>
  <c r="L7" i="3"/>
  <c r="E7" i="3" s="1"/>
  <c r="L6" i="3"/>
  <c r="F6" i="3" s="1"/>
  <c r="L5" i="3"/>
  <c r="F5" i="3" s="1"/>
  <c r="L4" i="3"/>
  <c r="F4" i="3" s="1"/>
  <c r="L3" i="3"/>
  <c r="E3" i="3" s="1"/>
  <c r="L2" i="3"/>
  <c r="E2" i="3" s="1"/>
  <c r="L7" i="2"/>
  <c r="F7" i="2" s="1"/>
  <c r="L8" i="2"/>
  <c r="F8" i="2" s="1"/>
  <c r="L9" i="2"/>
  <c r="F9" i="2" s="1"/>
  <c r="L6" i="2"/>
  <c r="F6" i="2" s="1"/>
  <c r="L3" i="2"/>
  <c r="F3" i="2" s="1"/>
  <c r="L4" i="2"/>
  <c r="F4" i="2" s="1"/>
  <c r="L5" i="2"/>
  <c r="F5" i="2" s="1"/>
  <c r="B3" i="2"/>
  <c r="B4" i="2" s="1"/>
  <c r="B5" i="2" s="1"/>
  <c r="L2" i="2"/>
  <c r="F2" i="2" s="1"/>
  <c r="L1" i="6" l="1"/>
  <c r="J11" i="1"/>
  <c r="J15" i="1" s="1"/>
  <c r="C7" i="7"/>
  <c r="L2" i="6"/>
  <c r="E5" i="2"/>
  <c r="E11" i="2"/>
  <c r="E16" i="2"/>
  <c r="E2" i="2"/>
  <c r="E8" i="2"/>
  <c r="E4" i="2"/>
  <c r="E15" i="2"/>
  <c r="E7" i="2"/>
  <c r="E3" i="2"/>
  <c r="F13" i="2"/>
  <c r="E6" i="2"/>
  <c r="F17" i="2"/>
  <c r="C2" i="4"/>
  <c r="D3" i="4"/>
  <c r="C4" i="4"/>
  <c r="F9" i="3"/>
  <c r="E10" i="2"/>
  <c r="E14" i="2"/>
  <c r="F7" i="3"/>
  <c r="E6" i="3"/>
  <c r="E5" i="3"/>
  <c r="E4" i="3"/>
  <c r="F3" i="3"/>
  <c r="F2" i="3"/>
  <c r="E8" i="3"/>
  <c r="E9" i="2"/>
  <c r="B8" i="7" l="1"/>
  <c r="C8" i="7" s="1"/>
  <c r="B9" i="7" s="1"/>
  <c r="C9" i="7" s="1"/>
  <c r="B10" i="7" s="1"/>
  <c r="C10" i="7" s="1"/>
  <c r="B11" i="7" s="1"/>
  <c r="C11" i="7" s="1"/>
  <c r="B12" i="7" s="1"/>
  <c r="C12" i="7" s="1"/>
  <c r="N1" i="5"/>
  <c r="N8" i="5" s="1"/>
  <c r="L5" i="6"/>
  <c r="L7" i="6" s="1"/>
  <c r="J18" i="1"/>
  <c r="J16" i="1"/>
  <c r="L10" i="6" l="1"/>
  <c r="L9" i="6"/>
  <c r="N9" i="5"/>
  <c r="N6" i="5"/>
  <c r="B13" i="7"/>
  <c r="C13" i="7" s="1"/>
  <c r="N5" i="5"/>
  <c r="N11" i="5" l="1"/>
  <c r="N12" i="5" s="1"/>
  <c r="J14" i="1" s="1"/>
  <c r="B14" i="7"/>
  <c r="C14" i="7" s="1"/>
  <c r="L12" i="6"/>
  <c r="L14" i="6" s="1"/>
  <c r="J17" i="1" s="1"/>
  <c r="B15" i="7" l="1"/>
  <c r="C15" i="7" s="1"/>
  <c r="J20" i="1"/>
  <c r="J29" i="1" l="1"/>
  <c r="J30" i="1"/>
  <c r="J28" i="1"/>
  <c r="R52" i="6" s="1"/>
  <c r="J27" i="1"/>
  <c r="R51" i="6" s="1"/>
  <c r="J25" i="1"/>
  <c r="J26" i="1"/>
  <c r="R50" i="6" s="1"/>
  <c r="R54" i="6"/>
  <c r="R49" i="6"/>
  <c r="R53" i="6"/>
  <c r="J37" i="6"/>
  <c r="J23" i="6"/>
  <c r="J30" i="6"/>
  <c r="M53" i="6"/>
  <c r="J31" i="1" l="1"/>
  <c r="G25" i="1" l="1"/>
  <c r="G24" i="1"/>
</calcChain>
</file>

<file path=xl/sharedStrings.xml><?xml version="1.0" encoding="utf-8"?>
<sst xmlns="http://schemas.openxmlformats.org/spreadsheetml/2006/main" count="458" uniqueCount="107">
  <si>
    <t>Changes in FY19 Budget Salary Expenses</t>
  </si>
  <si>
    <t>Pre-Tax Deductions</t>
  </si>
  <si>
    <t>Plan</t>
  </si>
  <si>
    <t>Per Pay Check Cost</t>
  </si>
  <si>
    <t>Annual</t>
  </si>
  <si>
    <t xml:space="preserve">First State Basic </t>
  </si>
  <si>
    <t>Total Monly Premium (Rate)</t>
  </si>
  <si>
    <t>State Share</t>
  </si>
  <si>
    <t>Emploiyee Share</t>
  </si>
  <si>
    <t>Coverage</t>
  </si>
  <si>
    <t>Employee</t>
  </si>
  <si>
    <t>Employee &amp; Spouse</t>
  </si>
  <si>
    <t>Employee &amp; Child(ren)</t>
  </si>
  <si>
    <t>Family</t>
  </si>
  <si>
    <t>Comprehensive PPO Plan</t>
  </si>
  <si>
    <t>CDH Gold</t>
  </si>
  <si>
    <t>HMO</t>
  </si>
  <si>
    <t>Provider</t>
  </si>
  <si>
    <t>Highmark</t>
  </si>
  <si>
    <t>Aetna</t>
  </si>
  <si>
    <t>Dominion</t>
  </si>
  <si>
    <t>Delta</t>
  </si>
  <si>
    <t>PPO</t>
  </si>
  <si>
    <t>EyeMed</t>
  </si>
  <si>
    <t>Yes</t>
  </si>
  <si>
    <t>No</t>
  </si>
  <si>
    <t>Amount</t>
  </si>
  <si>
    <t>Reduction</t>
  </si>
  <si>
    <t>Deferred Compensation</t>
  </si>
  <si>
    <t>Annual Salary</t>
  </si>
  <si>
    <t>Gross Pay</t>
  </si>
  <si>
    <t>Other Pre-Tax Deductions</t>
  </si>
  <si>
    <t>Total Taxable Income</t>
  </si>
  <si>
    <t>Annual Amount</t>
  </si>
  <si>
    <t>Taxes</t>
  </si>
  <si>
    <t>Per Pay</t>
  </si>
  <si>
    <t>Federal Withholding</t>
  </si>
  <si>
    <t>Federal MED/EE</t>
  </si>
  <si>
    <t>Federal OASDI/EE</t>
  </si>
  <si>
    <t>DE Withholding</t>
  </si>
  <si>
    <t>Wilmington</t>
  </si>
  <si>
    <t>Total Net Pay</t>
  </si>
  <si>
    <t>Cost of Living</t>
  </si>
  <si>
    <t>County of Residence</t>
  </si>
  <si>
    <t>Food</t>
  </si>
  <si>
    <t># of Withholdings</t>
  </si>
  <si>
    <t>Martial Status</t>
  </si>
  <si>
    <t>Single</t>
  </si>
  <si>
    <t>Withholdings</t>
  </si>
  <si>
    <t>Income Min</t>
  </si>
  <si>
    <t>Income Max</t>
  </si>
  <si>
    <t>Married</t>
  </si>
  <si>
    <t>Percentage</t>
  </si>
  <si>
    <t>Allowance</t>
  </si>
  <si>
    <t>Lookup</t>
  </si>
  <si>
    <t>Misc.</t>
  </si>
  <si>
    <t>Taxable Income</t>
  </si>
  <si>
    <t>Base Owed</t>
  </si>
  <si>
    <t>Based Owed</t>
  </si>
  <si>
    <t>Percentage Owed</t>
  </si>
  <si>
    <t>Total Owed</t>
  </si>
  <si>
    <t>After Withholdings</t>
  </si>
  <si>
    <t>Yes/No</t>
  </si>
  <si>
    <t>Filing Status</t>
  </si>
  <si>
    <t>Standard Deduction</t>
  </si>
  <si>
    <t>Gross</t>
  </si>
  <si>
    <t>Gross Income</t>
  </si>
  <si>
    <t>Base Amount</t>
  </si>
  <si>
    <t xml:space="preserve">Percentage </t>
  </si>
  <si>
    <t>Base Withholding</t>
  </si>
  <si>
    <t>Personal Exemptions</t>
  </si>
  <si>
    <t>Withhold Each Pay Period</t>
  </si>
  <si>
    <t>Transportation</t>
  </si>
  <si>
    <t>Mortgage/Rent/Utilities</t>
  </si>
  <si>
    <t>Healthcare</t>
  </si>
  <si>
    <t>Kent</t>
  </si>
  <si>
    <t>New Castle</t>
  </si>
  <si>
    <t>Sussex</t>
  </si>
  <si>
    <t>COLA</t>
  </si>
  <si>
    <t>Estimated</t>
  </si>
  <si>
    <t>Actual</t>
  </si>
  <si>
    <t>County</t>
  </si>
  <si>
    <t>Expense</t>
  </si>
  <si>
    <t>Total</t>
  </si>
  <si>
    <t>Childcare</t>
  </si>
  <si>
    <t>Single (kids)</t>
  </si>
  <si>
    <t>Married (Kids)</t>
  </si>
  <si>
    <t>Delaware</t>
  </si>
  <si>
    <t>COLA Adjust</t>
  </si>
  <si>
    <t>Marital Status</t>
  </si>
  <si>
    <t>Exemptions</t>
  </si>
  <si>
    <t>Participant</t>
  </si>
  <si>
    <t>Residence</t>
  </si>
  <si>
    <t>Modifer</t>
  </si>
  <si>
    <t>State Base</t>
  </si>
  <si>
    <t>No. of Days per Week</t>
  </si>
  <si>
    <t>Expected Increase ($)</t>
  </si>
  <si>
    <t>Complete with Annual Amounts, or Enter your Bi-weekly Paycheck amout in Column J</t>
  </si>
  <si>
    <t>Household Bi-Weekly Budget Calculator</t>
  </si>
  <si>
    <t>Available Bi-Weekly Income</t>
  </si>
  <si>
    <t>Housing/ Rent &amp; Utilities</t>
  </si>
  <si>
    <t>Clothing</t>
  </si>
  <si>
    <t>Other</t>
  </si>
  <si>
    <t>Available Monthly Income</t>
  </si>
  <si>
    <t>Available Annual Income</t>
  </si>
  <si>
    <t xml:space="preserve">Created by the Office of the State Treasurer of Delaware. </t>
  </si>
  <si>
    <t xml:space="preserve">Please visit our page for more information.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</si>
</sst>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00%"/>
    <numFmt numFmtId="165" formatCode="_(&quot;$&quot;* #,##0.0000_);_(&quot;$&quot;* \(#,##0.0000\);_(&quot;$&quot;* &quot;-&quot;??_);_(@_)"/>
    <numFmt numFmtId="166" formatCode="_(&quot;$&quot;* #,##0.00000_);_(&quot;$&quot;* \(#,##0.00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44" fontId="0" fillId="2" borderId="0" xfId="1" applyFont="1" applyFill="1"/>
    <xf numFmtId="44" fontId="0" fillId="0" borderId="0" xfId="1" applyFont="1"/>
    <xf numFmtId="0" fontId="0" fillId="2" borderId="0" xfId="0" applyFill="1" applyAlignment="1">
      <alignment horizontal="right"/>
    </xf>
    <xf numFmtId="44" fontId="0" fillId="2" borderId="0" xfId="0" applyNumberFormat="1" applyFill="1"/>
    <xf numFmtId="164" fontId="0" fillId="2" borderId="0" xfId="2" applyNumberFormat="1" applyFont="1" applyFill="1"/>
    <xf numFmtId="44" fontId="0" fillId="0" borderId="0" xfId="1" applyNumberFormat="1" applyFont="1"/>
    <xf numFmtId="9" fontId="0" fillId="0" borderId="0" xfId="2" applyFont="1"/>
    <xf numFmtId="44" fontId="0" fillId="0" borderId="0" xfId="0" applyNumberFormat="1"/>
    <xf numFmtId="165" fontId="0" fillId="2" borderId="0" xfId="0" applyNumberFormat="1" applyFill="1"/>
    <xf numFmtId="166" fontId="0" fillId="2" borderId="0" xfId="0" applyNumberFormat="1" applyFill="1"/>
    <xf numFmtId="10" fontId="0" fillId="0" borderId="0" xfId="2" applyNumberFormat="1" applyFont="1"/>
    <xf numFmtId="0" fontId="0" fillId="2" borderId="8" xfId="0" applyFill="1" applyBorder="1" applyProtection="1">
      <protection locked="0" hidden="1"/>
    </xf>
    <xf numFmtId="0" fontId="0" fillId="2" borderId="0" xfId="0" applyFill="1" applyBorder="1" applyProtection="1">
      <protection locked="0" hidden="1"/>
    </xf>
    <xf numFmtId="44" fontId="0" fillId="2" borderId="7" xfId="1" applyFont="1" applyFill="1" applyBorder="1" applyProtection="1">
      <protection locked="0" hidden="1"/>
    </xf>
    <xf numFmtId="44" fontId="0" fillId="2" borderId="0" xfId="1" applyFont="1" applyFill="1" applyBorder="1" applyProtection="1">
      <protection locked="0" hidden="1"/>
    </xf>
    <xf numFmtId="44" fontId="0" fillId="2" borderId="0" xfId="1" applyFont="1" applyFill="1" applyBorder="1" applyAlignment="1" applyProtection="1">
      <alignment horizontal="right"/>
      <protection locked="0" hidden="1"/>
    </xf>
    <xf numFmtId="0" fontId="0" fillId="2" borderId="9" xfId="0" applyFill="1" applyBorder="1" applyProtection="1">
      <protection locked="0" hidden="1"/>
    </xf>
    <xf numFmtId="0" fontId="0" fillId="2" borderId="0" xfId="0" applyFill="1" applyBorder="1" applyAlignment="1" applyProtection="1">
      <alignment horizontal="right"/>
      <protection locked="0" hidden="1"/>
    </xf>
    <xf numFmtId="0" fontId="2" fillId="5" borderId="8" xfId="0" applyFont="1" applyFill="1" applyBorder="1" applyProtection="1">
      <protection locked="0" hidden="1"/>
    </xf>
    <xf numFmtId="0" fontId="0" fillId="5" borderId="0" xfId="0" applyFill="1" applyBorder="1" applyProtection="1">
      <protection locked="0" hidden="1"/>
    </xf>
    <xf numFmtId="0" fontId="3" fillId="5" borderId="0" xfId="0" applyFont="1" applyFill="1" applyBorder="1" applyAlignment="1" applyProtection="1">
      <alignment horizontal="right"/>
      <protection locked="0" hidden="1"/>
    </xf>
    <xf numFmtId="0" fontId="0" fillId="5" borderId="0" xfId="0" applyFill="1" applyBorder="1" applyAlignment="1" applyProtection="1">
      <alignment horizontal="right"/>
      <protection locked="0" hidden="1"/>
    </xf>
    <xf numFmtId="0" fontId="0" fillId="5" borderId="9" xfId="0" applyFill="1" applyBorder="1" applyProtection="1">
      <protection locked="0" hidden="1"/>
    </xf>
    <xf numFmtId="0" fontId="3" fillId="2" borderId="8" xfId="0" applyFont="1" applyFill="1" applyBorder="1" applyProtection="1">
      <protection locked="0" hidden="1"/>
    </xf>
    <xf numFmtId="44" fontId="0" fillId="2" borderId="7" xfId="0" applyNumberFormat="1" applyFill="1" applyBorder="1" applyProtection="1">
      <protection locked="0" hidden="1"/>
    </xf>
    <xf numFmtId="0" fontId="0" fillId="4" borderId="8" xfId="0" applyFill="1" applyBorder="1" applyProtection="1">
      <protection locked="0" hidden="1"/>
    </xf>
    <xf numFmtId="0" fontId="0" fillId="4" borderId="0" xfId="0" applyFill="1" applyBorder="1" applyProtection="1">
      <protection locked="0" hidden="1"/>
    </xf>
    <xf numFmtId="0" fontId="0" fillId="4" borderId="0" xfId="0" applyFill="1" applyBorder="1" applyAlignment="1" applyProtection="1">
      <alignment horizontal="right"/>
      <protection locked="0" hidden="1"/>
    </xf>
    <xf numFmtId="0" fontId="2" fillId="4" borderId="0" xfId="0" applyFont="1" applyFill="1" applyBorder="1" applyAlignment="1" applyProtection="1">
      <alignment horizontal="right"/>
      <protection locked="0" hidden="1"/>
    </xf>
    <xf numFmtId="0" fontId="0" fillId="4" borderId="9" xfId="0" applyFill="1" applyBorder="1" applyProtection="1">
      <protection locked="0" hidden="1"/>
    </xf>
    <xf numFmtId="0" fontId="0" fillId="5" borderId="8" xfId="0" applyFill="1" applyBorder="1" applyProtection="1">
      <protection locked="0" hidden="1"/>
    </xf>
    <xf numFmtId="0" fontId="2" fillId="4" borderId="8" xfId="0" applyFont="1" applyFill="1" applyBorder="1" applyProtection="1">
      <protection locked="0" hidden="1"/>
    </xf>
    <xf numFmtId="0" fontId="2" fillId="2" borderId="0" xfId="0" applyFont="1" applyFill="1" applyBorder="1" applyProtection="1">
      <protection locked="0" hidden="1"/>
    </xf>
    <xf numFmtId="0" fontId="2" fillId="2" borderId="9" xfId="0" applyFont="1" applyFill="1" applyBorder="1" applyProtection="1">
      <protection locked="0" hidden="1"/>
    </xf>
    <xf numFmtId="0" fontId="2" fillId="2" borderId="0" xfId="0" applyFont="1" applyFill="1" applyBorder="1" applyAlignment="1" applyProtection="1">
      <alignment horizontal="right"/>
      <protection locked="0" hidden="1"/>
    </xf>
    <xf numFmtId="44" fontId="0" fillId="2" borderId="9" xfId="0" applyNumberFormat="1" applyFill="1" applyBorder="1" applyProtection="1">
      <protection locked="0" hidden="1"/>
    </xf>
    <xf numFmtId="0" fontId="0" fillId="4" borderId="4" xfId="0" applyFill="1" applyBorder="1" applyProtection="1">
      <protection locked="0" hidden="1"/>
    </xf>
    <xf numFmtId="0" fontId="0" fillId="4" borderId="5" xfId="0" applyFill="1" applyBorder="1" applyProtection="1">
      <protection locked="0" hidden="1"/>
    </xf>
    <xf numFmtId="0" fontId="0" fillId="4" borderId="5" xfId="0" applyFill="1" applyBorder="1" applyAlignment="1" applyProtection="1">
      <alignment horizontal="right"/>
      <protection locked="0" hidden="1"/>
    </xf>
    <xf numFmtId="44" fontId="0" fillId="4" borderId="6" xfId="0" applyNumberFormat="1" applyFill="1" applyBorder="1" applyProtection="1">
      <protection locked="0" hidden="1"/>
    </xf>
    <xf numFmtId="0" fontId="3" fillId="5" borderId="0" xfId="0" applyFont="1" applyFill="1" applyBorder="1" applyProtection="1">
      <protection locked="0" hidden="1"/>
    </xf>
    <xf numFmtId="0" fontId="0" fillId="2" borderId="0" xfId="0" applyFill="1" applyBorder="1" applyAlignment="1" applyProtection="1">
      <alignment horizontal="right"/>
      <protection locked="0"/>
    </xf>
    <xf numFmtId="0" fontId="4" fillId="2" borderId="8" xfId="0" applyFont="1" applyFill="1" applyBorder="1" applyProtection="1">
      <protection locked="0" hidden="1"/>
    </xf>
    <xf numFmtId="0" fontId="4" fillId="2" borderId="0" xfId="0" applyFont="1" applyFill="1" applyBorder="1" applyProtection="1">
      <protection locked="0" hidden="1"/>
    </xf>
    <xf numFmtId="0" fontId="6" fillId="4" borderId="5" xfId="0" applyFont="1" applyFill="1" applyBorder="1" applyProtection="1">
      <protection locked="0" hidden="1"/>
    </xf>
    <xf numFmtId="0" fontId="7" fillId="4" borderId="5" xfId="0" applyFont="1" applyFill="1" applyBorder="1" applyAlignment="1" applyProtection="1">
      <alignment horizontal="right"/>
      <protection locked="0" hidden="1"/>
    </xf>
    <xf numFmtId="44" fontId="6" fillId="4" borderId="5" xfId="0" applyNumberFormat="1" applyFont="1" applyFill="1" applyBorder="1" applyProtection="1">
      <protection locked="0" hidden="1"/>
    </xf>
    <xf numFmtId="0" fontId="5" fillId="2" borderId="8" xfId="0" applyFont="1" applyFill="1" applyBorder="1" applyAlignment="1" applyProtection="1">
      <alignment horizontal="right"/>
      <protection locked="0" hidden="1"/>
    </xf>
    <xf numFmtId="44" fontId="5" fillId="2" borderId="7" xfId="0" applyNumberFormat="1" applyFont="1" applyFill="1" applyBorder="1" applyProtection="1">
      <protection locked="0" hidden="1"/>
    </xf>
    <xf numFmtId="0" fontId="3" fillId="2" borderId="0" xfId="0" applyFont="1" applyFill="1"/>
    <xf numFmtId="0" fontId="8" fillId="2" borderId="0" xfId="3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horizontal="center" vertical="center"/>
      <protection locked="0" hidden="1"/>
    </xf>
    <xf numFmtId="0" fontId="2" fillId="3" borderId="3" xfId="0" applyFont="1" applyFill="1" applyBorder="1" applyAlignment="1" applyProtection="1">
      <alignment horizontal="center" vertical="center"/>
      <protection locked="0" hidden="1"/>
    </xf>
    <xf numFmtId="0" fontId="2" fillId="3" borderId="4" xfId="0" applyFont="1" applyFill="1" applyBorder="1" applyAlignment="1" applyProtection="1">
      <alignment horizontal="center" vertical="center"/>
      <protection locked="0" hidden="1"/>
    </xf>
    <xf numFmtId="0" fontId="2" fillId="3" borderId="5" xfId="0" applyFont="1" applyFill="1" applyBorder="1" applyAlignment="1" applyProtection="1">
      <alignment horizontal="center" vertical="center"/>
      <protection locked="0" hidden="1"/>
    </xf>
    <xf numFmtId="0" fontId="2" fillId="3" borderId="6" xfId="0" applyFont="1" applyFill="1" applyBorder="1" applyAlignment="1" applyProtection="1">
      <alignment horizontal="center" vertical="center"/>
      <protection locked="0" hidden="1"/>
    </xf>
    <xf numFmtId="44" fontId="0" fillId="6" borderId="7" xfId="1" applyFont="1" applyFill="1" applyBorder="1" applyAlignment="1" applyProtection="1">
      <alignment horizontal="right"/>
      <protection locked="0" hidden="1"/>
    </xf>
    <xf numFmtId="44" fontId="0" fillId="6" borderId="7" xfId="1" applyFont="1" applyFill="1" applyBorder="1" applyProtection="1">
      <protection locked="0" hidden="1"/>
    </xf>
    <xf numFmtId="0" fontId="0" fillId="6" borderId="7" xfId="0" applyFill="1" applyBorder="1" applyProtection="1">
      <protection locked="0" hidden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easurer.delaware.gov/de_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7"/>
  <sheetViews>
    <sheetView tabSelected="1" workbookViewId="0">
      <selection activeCell="N11" sqref="N11"/>
    </sheetView>
  </sheetViews>
  <sheetFormatPr defaultColWidth="9.109375" defaultRowHeight="14.4" x14ac:dyDescent="0.3"/>
  <cols>
    <col min="1" max="1" width="24" style="1" customWidth="1"/>
    <col min="2" max="2" width="3.21875" style="1" customWidth="1"/>
    <col min="3" max="3" width="11.5546875" style="4" bestFit="1" customWidth="1"/>
    <col min="4" max="4" width="11.5546875" style="1" bestFit="1" customWidth="1"/>
    <col min="5" max="5" width="11.21875" style="1" bestFit="1" customWidth="1"/>
    <col min="6" max="6" width="18.5546875" style="1" customWidth="1"/>
    <col min="7" max="7" width="11.5546875" style="1" customWidth="1"/>
    <col min="8" max="8" width="23.44140625" style="1" customWidth="1"/>
    <col min="9" max="10" width="11.5546875" style="1" customWidth="1"/>
    <col min="11" max="11" width="10.5546875" style="1" bestFit="1" customWidth="1"/>
    <col min="12" max="12" width="7.6640625" style="1" bestFit="1" customWidth="1"/>
    <col min="13" max="13" width="11" style="1" bestFit="1" customWidth="1"/>
    <col min="14" max="16" width="11.5546875" style="1" bestFit="1" customWidth="1"/>
    <col min="17" max="16384" width="9.109375" style="1"/>
  </cols>
  <sheetData>
    <row r="1" spans="1:16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6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8"/>
    </row>
    <row r="3" spans="1:16" x14ac:dyDescent="0.3">
      <c r="A3" s="13"/>
      <c r="B3" s="14"/>
      <c r="C3" s="19"/>
      <c r="D3" s="14"/>
      <c r="E3" s="14"/>
      <c r="F3" s="14"/>
      <c r="G3" s="14"/>
      <c r="H3" s="14"/>
      <c r="I3" s="14"/>
      <c r="J3" s="14"/>
      <c r="K3" s="18"/>
    </row>
    <row r="4" spans="1:16" x14ac:dyDescent="0.3">
      <c r="A4" s="13" t="s">
        <v>29</v>
      </c>
      <c r="B4" s="14"/>
      <c r="C4" s="65">
        <v>45000</v>
      </c>
      <c r="D4" s="14"/>
      <c r="E4" s="14"/>
      <c r="F4" s="14" t="s">
        <v>96</v>
      </c>
      <c r="G4" s="66"/>
      <c r="H4" s="16"/>
      <c r="I4" s="17" t="s">
        <v>30</v>
      </c>
      <c r="J4" s="15">
        <f>(C4+G4)/26</f>
        <v>1730.7692307692307</v>
      </c>
      <c r="K4" s="18"/>
    </row>
    <row r="5" spans="1:16" x14ac:dyDescent="0.3">
      <c r="A5" s="13"/>
      <c r="B5" s="14"/>
      <c r="C5" s="19"/>
      <c r="D5" s="14"/>
      <c r="E5" s="14"/>
      <c r="F5" s="14"/>
      <c r="G5" s="14"/>
      <c r="H5" s="14"/>
      <c r="I5" s="19"/>
      <c r="J5" s="14"/>
      <c r="K5" s="18"/>
    </row>
    <row r="6" spans="1:16" x14ac:dyDescent="0.3">
      <c r="A6" s="20" t="s">
        <v>1</v>
      </c>
      <c r="B6" s="42" t="s">
        <v>97</v>
      </c>
      <c r="C6" s="22"/>
      <c r="D6" s="21"/>
      <c r="E6" s="21"/>
      <c r="F6" s="21"/>
      <c r="G6" s="21"/>
      <c r="H6" s="21"/>
      <c r="I6" s="23"/>
      <c r="J6" s="21"/>
      <c r="K6" s="24"/>
    </row>
    <row r="7" spans="1:16" x14ac:dyDescent="0.3">
      <c r="A7" s="25" t="s">
        <v>28</v>
      </c>
      <c r="B7" s="14"/>
      <c r="C7" s="19" t="s">
        <v>33</v>
      </c>
      <c r="D7" s="66"/>
      <c r="E7" s="19"/>
      <c r="F7" s="14"/>
      <c r="G7" s="19"/>
      <c r="H7" s="14"/>
      <c r="I7" s="19" t="s">
        <v>27</v>
      </c>
      <c r="J7" s="26">
        <f>D7/26</f>
        <v>0</v>
      </c>
      <c r="K7" s="18"/>
      <c r="P7" s="6"/>
    </row>
    <row r="8" spans="1:16" x14ac:dyDescent="0.3">
      <c r="A8" s="13"/>
      <c r="B8" s="14"/>
      <c r="C8" s="19"/>
      <c r="D8" s="14"/>
      <c r="E8" s="19"/>
      <c r="F8" s="14"/>
      <c r="G8" s="19"/>
      <c r="H8" s="14"/>
      <c r="I8" s="19"/>
      <c r="J8" s="14"/>
      <c r="K8" s="18"/>
    </row>
    <row r="9" spans="1:16" x14ac:dyDescent="0.3">
      <c r="A9" s="25" t="s">
        <v>31</v>
      </c>
      <c r="B9" s="14"/>
      <c r="C9" s="19" t="s">
        <v>33</v>
      </c>
      <c r="D9" s="66"/>
      <c r="E9" s="19"/>
      <c r="F9" s="14"/>
      <c r="G9" s="19"/>
      <c r="H9" s="14"/>
      <c r="I9" s="19" t="s">
        <v>27</v>
      </c>
      <c r="J9" s="26">
        <f>D9/26</f>
        <v>0</v>
      </c>
      <c r="K9" s="18"/>
    </row>
    <row r="10" spans="1:16" ht="6" customHeight="1" x14ac:dyDescent="0.3">
      <c r="A10" s="13"/>
      <c r="B10" s="14"/>
      <c r="C10" s="19"/>
      <c r="D10" s="14"/>
      <c r="E10" s="14"/>
      <c r="F10" s="14"/>
      <c r="G10" s="19"/>
      <c r="H10" s="14"/>
      <c r="I10" s="19"/>
      <c r="J10" s="14"/>
      <c r="K10" s="18"/>
    </row>
    <row r="11" spans="1:16" x14ac:dyDescent="0.3">
      <c r="A11" s="27"/>
      <c r="B11" s="28"/>
      <c r="C11" s="29"/>
      <c r="D11" s="28"/>
      <c r="E11" s="28"/>
      <c r="F11" s="28"/>
      <c r="G11" s="29"/>
      <c r="H11" s="28"/>
      <c r="I11" s="30" t="s">
        <v>32</v>
      </c>
      <c r="J11" s="26">
        <f>J4-SUM(J7,J9)</f>
        <v>1730.7692307692307</v>
      </c>
      <c r="K11" s="31"/>
    </row>
    <row r="12" spans="1:16" ht="3" customHeight="1" x14ac:dyDescent="0.3">
      <c r="A12" s="32"/>
      <c r="B12" s="21"/>
      <c r="C12" s="23"/>
      <c r="D12" s="21"/>
      <c r="E12" s="21"/>
      <c r="F12" s="21"/>
      <c r="G12" s="23"/>
      <c r="H12" s="21"/>
      <c r="I12" s="21"/>
      <c r="J12" s="21"/>
      <c r="K12" s="24"/>
    </row>
    <row r="13" spans="1:16" x14ac:dyDescent="0.3">
      <c r="A13" s="20" t="s">
        <v>34</v>
      </c>
      <c r="B13" s="21"/>
      <c r="C13" s="23" t="s">
        <v>46</v>
      </c>
      <c r="D13" s="67" t="s">
        <v>47</v>
      </c>
      <c r="E13" s="21"/>
      <c r="F13" s="21"/>
      <c r="G13" s="21"/>
      <c r="H13" s="21"/>
      <c r="I13" s="21"/>
      <c r="J13" s="21"/>
      <c r="K13" s="24"/>
    </row>
    <row r="14" spans="1:16" x14ac:dyDescent="0.3">
      <c r="A14" s="13" t="s">
        <v>36</v>
      </c>
      <c r="B14" s="14"/>
      <c r="C14" s="19" t="s">
        <v>45</v>
      </c>
      <c r="D14" s="67">
        <v>0</v>
      </c>
      <c r="E14" s="14"/>
      <c r="F14" s="14"/>
      <c r="G14" s="14"/>
      <c r="H14" s="14"/>
      <c r="I14" s="19" t="s">
        <v>35</v>
      </c>
      <c r="J14" s="26">
        <f>Federal!N12</f>
        <v>193.28923076923076</v>
      </c>
      <c r="K14" s="18"/>
      <c r="N14" s="5"/>
    </row>
    <row r="15" spans="1:16" x14ac:dyDescent="0.3">
      <c r="A15" s="13" t="s">
        <v>37</v>
      </c>
      <c r="B15" s="14"/>
      <c r="C15" s="19"/>
      <c r="D15" s="14"/>
      <c r="E15" s="14"/>
      <c r="F15" s="14"/>
      <c r="G15" s="14"/>
      <c r="H15" s="14"/>
      <c r="I15" s="19" t="str">
        <f>I14</f>
        <v>Per Pay</v>
      </c>
      <c r="J15" s="26">
        <f>J11*0.0154</f>
        <v>26.653846153846153</v>
      </c>
      <c r="K15" s="18"/>
      <c r="L15" s="5"/>
      <c r="N15" s="10"/>
    </row>
    <row r="16" spans="1:16" x14ac:dyDescent="0.3">
      <c r="A16" s="13" t="s">
        <v>38</v>
      </c>
      <c r="B16" s="14"/>
      <c r="C16" s="19"/>
      <c r="D16" s="14"/>
      <c r="E16" s="14"/>
      <c r="F16" s="14"/>
      <c r="G16" s="14"/>
      <c r="H16" s="14"/>
      <c r="I16" s="19" t="str">
        <f>I15</f>
        <v>Per Pay</v>
      </c>
      <c r="J16" s="26">
        <f>J11*0.06571</f>
        <v>113.72884615384616</v>
      </c>
      <c r="K16" s="18"/>
      <c r="N16" s="11"/>
    </row>
    <row r="17" spans="1:18" x14ac:dyDescent="0.3">
      <c r="A17" s="13" t="s">
        <v>39</v>
      </c>
      <c r="B17" s="14"/>
      <c r="C17" s="19" t="s">
        <v>45</v>
      </c>
      <c r="D17" s="67">
        <v>0</v>
      </c>
      <c r="E17" s="14"/>
      <c r="F17" s="14"/>
      <c r="G17" s="14"/>
      <c r="H17" s="14"/>
      <c r="I17" s="19" t="str">
        <f>I16</f>
        <v>Per Pay</v>
      </c>
      <c r="J17" s="26">
        <f>State!L14</f>
        <v>74.254807692307693</v>
      </c>
      <c r="K17" s="18"/>
      <c r="N17" s="5"/>
    </row>
    <row r="18" spans="1:18" x14ac:dyDescent="0.3">
      <c r="A18" s="25" t="s">
        <v>40</v>
      </c>
      <c r="B18" s="14"/>
      <c r="C18" s="19" t="s">
        <v>62</v>
      </c>
      <c r="D18" s="67" t="s">
        <v>25</v>
      </c>
      <c r="E18" s="14"/>
      <c r="F18" s="19" t="s">
        <v>95</v>
      </c>
      <c r="G18" s="67">
        <v>0</v>
      </c>
      <c r="H18" s="14"/>
      <c r="I18" s="19" t="str">
        <f>I17</f>
        <v>Per Pay</v>
      </c>
      <c r="J18" s="26">
        <f>IF(D18="No",0,((G18/5)*J11)*0.0125)</f>
        <v>0</v>
      </c>
      <c r="K18" s="18"/>
    </row>
    <row r="19" spans="1:18" x14ac:dyDescent="0.3">
      <c r="A19" s="13"/>
      <c r="B19" s="14"/>
      <c r="C19" s="19"/>
      <c r="D19" s="14"/>
      <c r="E19" s="14"/>
      <c r="F19" s="14"/>
      <c r="G19" s="14"/>
      <c r="H19" s="14"/>
      <c r="I19" s="14"/>
      <c r="J19" s="14"/>
      <c r="K19" s="18"/>
      <c r="M19" s="2"/>
    </row>
    <row r="20" spans="1:18" x14ac:dyDescent="0.3">
      <c r="A20" s="33"/>
      <c r="B20" s="28"/>
      <c r="C20" s="29"/>
      <c r="D20" s="28"/>
      <c r="E20" s="28"/>
      <c r="F20" s="28"/>
      <c r="G20" s="28"/>
      <c r="H20" s="28"/>
      <c r="I20" s="30" t="s">
        <v>41</v>
      </c>
      <c r="J20" s="26">
        <f>J11-SUM(J14:J18)</f>
        <v>1322.8425</v>
      </c>
      <c r="K20" s="31"/>
      <c r="O20" s="5"/>
      <c r="P20" s="5"/>
      <c r="R20" s="5"/>
    </row>
    <row r="21" spans="1:18" x14ac:dyDescent="0.3">
      <c r="A21" s="59" t="s">
        <v>98</v>
      </c>
      <c r="B21" s="60"/>
      <c r="C21" s="60"/>
      <c r="D21" s="60"/>
      <c r="E21" s="60"/>
      <c r="F21" s="60"/>
      <c r="G21" s="60"/>
      <c r="H21" s="60"/>
      <c r="I21" s="60"/>
      <c r="J21" s="60"/>
      <c r="K21" s="61"/>
    </row>
    <row r="22" spans="1:18" x14ac:dyDescent="0.3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4"/>
    </row>
    <row r="23" spans="1:18" x14ac:dyDescent="0.3">
      <c r="A23" s="13"/>
      <c r="B23" s="14"/>
      <c r="C23" s="19"/>
      <c r="D23" s="14"/>
      <c r="E23" s="14"/>
      <c r="F23" s="14"/>
      <c r="G23" s="14"/>
      <c r="H23" s="14"/>
      <c r="I23" s="14"/>
      <c r="J23" s="34" t="s">
        <v>79</v>
      </c>
      <c r="K23" s="35" t="s">
        <v>80</v>
      </c>
    </row>
    <row r="24" spans="1:18" ht="15.6" x14ac:dyDescent="0.3">
      <c r="A24" s="13"/>
      <c r="B24" s="14"/>
      <c r="C24" s="19"/>
      <c r="E24" s="36"/>
      <c r="F24" s="49" t="s">
        <v>103</v>
      </c>
      <c r="G24" s="50">
        <f>J31*2</f>
        <v>371.68075697178529</v>
      </c>
      <c r="H24" s="14"/>
      <c r="I24" s="36" t="s">
        <v>42</v>
      </c>
      <c r="J24" s="14"/>
      <c r="K24" s="37"/>
      <c r="N24" s="5"/>
    </row>
    <row r="25" spans="1:18" ht="15.6" x14ac:dyDescent="0.3">
      <c r="E25" s="36"/>
      <c r="F25" s="49" t="s">
        <v>104</v>
      </c>
      <c r="G25" s="50">
        <f>J31*26</f>
        <v>4831.8498406332092</v>
      </c>
      <c r="H25" s="14"/>
      <c r="I25" s="43" t="s">
        <v>100</v>
      </c>
      <c r="J25" s="26">
        <f>J20*0.35306613</f>
        <v>467.05088207452496</v>
      </c>
      <c r="K25" s="26"/>
      <c r="N25" s="5"/>
    </row>
    <row r="26" spans="1:18" x14ac:dyDescent="0.3">
      <c r="F26" s="14"/>
      <c r="G26" s="14"/>
      <c r="H26" s="14"/>
      <c r="I26" s="19" t="s">
        <v>44</v>
      </c>
      <c r="J26" s="26">
        <f>J20*0.11720994</f>
        <v>155.05029005444999</v>
      </c>
      <c r="K26" s="26"/>
    </row>
    <row r="27" spans="1:18" ht="15.6" x14ac:dyDescent="0.3">
      <c r="A27" s="44"/>
      <c r="B27" s="45"/>
      <c r="C27" s="19"/>
      <c r="D27" s="14"/>
      <c r="E27" s="14"/>
      <c r="F27" s="14"/>
      <c r="G27" s="14"/>
      <c r="H27" s="14"/>
      <c r="I27" s="19" t="s">
        <v>72</v>
      </c>
      <c r="J27" s="26">
        <f>J20*0.143199479</f>
        <v>189.43035679905748</v>
      </c>
      <c r="K27" s="26"/>
    </row>
    <row r="28" spans="1:18" x14ac:dyDescent="0.3">
      <c r="A28" s="13"/>
      <c r="B28" s="14"/>
      <c r="C28" s="19"/>
      <c r="D28" s="14"/>
      <c r="E28" s="14"/>
      <c r="F28" s="14"/>
      <c r="G28" s="14"/>
      <c r="H28" s="14"/>
      <c r="I28" s="19" t="s">
        <v>74</v>
      </c>
      <c r="J28" s="26">
        <f>J20*0.0750204</f>
        <v>99.240173486999993</v>
      </c>
      <c r="K28" s="26"/>
    </row>
    <row r="29" spans="1:18" x14ac:dyDescent="0.3">
      <c r="A29" s="13"/>
      <c r="B29" s="14"/>
      <c r="C29" s="19"/>
      <c r="D29" s="14"/>
      <c r="E29" s="14"/>
      <c r="F29" s="14"/>
      <c r="G29" s="14"/>
      <c r="H29" s="14"/>
      <c r="I29" s="19" t="s">
        <v>101</v>
      </c>
      <c r="J29" s="26">
        <f>J20*0.00941912854</f>
        <v>12.46002354567495</v>
      </c>
      <c r="K29" s="26"/>
    </row>
    <row r="30" spans="1:18" x14ac:dyDescent="0.3">
      <c r="A30" s="13"/>
      <c r="B30" s="14"/>
      <c r="C30" s="19"/>
      <c r="D30" s="14"/>
      <c r="E30" s="14"/>
      <c r="F30" s="14"/>
      <c r="G30" s="14"/>
      <c r="H30" s="14"/>
      <c r="I30" s="19" t="s">
        <v>102</v>
      </c>
      <c r="J30" s="26">
        <f>J20*0.16159928</f>
        <v>213.77039555340002</v>
      </c>
      <c r="K30" s="26"/>
    </row>
    <row r="31" spans="1:18" ht="18" x14ac:dyDescent="0.35">
      <c r="A31" s="38"/>
      <c r="B31" s="39"/>
      <c r="C31" s="40"/>
      <c r="D31" s="39"/>
      <c r="E31" s="39"/>
      <c r="F31" s="39"/>
      <c r="G31" s="39"/>
      <c r="H31" s="46"/>
      <c r="I31" s="47" t="s">
        <v>99</v>
      </c>
      <c r="J31" s="48">
        <f>J20-SUM(J25:J30)</f>
        <v>185.84037848589264</v>
      </c>
      <c r="K31" s="41"/>
      <c r="M31" s="5"/>
    </row>
    <row r="32" spans="1:18" x14ac:dyDescent="0.3">
      <c r="I32" s="4"/>
      <c r="J32" s="5"/>
    </row>
    <row r="36" spans="1:1" x14ac:dyDescent="0.3">
      <c r="A36" s="51" t="s">
        <v>105</v>
      </c>
    </row>
    <row r="37" spans="1:1" x14ac:dyDescent="0.3">
      <c r="A37" s="52" t="s">
        <v>106</v>
      </c>
    </row>
  </sheetData>
  <sheetProtection algorithmName="SHA-512" hashValue="TB1U/QbPajRBAiHKuCdL3MeXx6o3WGVPHv5tmEhxhTvVxnkPKX1LYjDUd+e/iRt1nthRPXxZkyRyY2ILgtQYmQ==" saltValue="jPOkbh+wEJg8gB4vCkVt5Q==" spinCount="100000" sheet="1" objects="1" scenarios="1"/>
  <mergeCells count="2">
    <mergeCell ref="A1:K2"/>
    <mergeCell ref="A21:K22"/>
  </mergeCells>
  <hyperlinks>
    <hyperlink ref="A37" r:id="rId1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Health!$O$1:$O$2</xm:f>
          </x14:formula1>
          <xm:sqref>D18</xm:sqref>
        </x14:dataValidation>
        <x14:dataValidation type="list" allowBlank="1" showInputMessage="1" showErrorMessage="1">
          <x14:formula1>
            <xm:f>Federal!$A$9:$A$10</xm:f>
          </x14:formula1>
          <xm:sqref>D13</xm:sqref>
        </x14:dataValidation>
        <x14:dataValidation type="list" allowBlank="1" showInputMessage="1" showErrorMessage="1">
          <x14:formula1>
            <xm:f>Federal!$G$2:$G$12</xm:f>
          </x14:formula1>
          <xm:sqref>D14</xm:sqref>
        </x14:dataValidation>
        <x14:dataValidation type="list" allowBlank="1" showInputMessage="1" showErrorMessage="1">
          <x14:formula1>
            <xm:f>State!$G$2:$G$12</xm:f>
          </x14:formula1>
          <xm:sqref>D17</xm:sqref>
        </x14:dataValidation>
        <x14:dataValidation type="list" allowBlank="1" showInputMessage="1" showErrorMessage="1">
          <x14:formula1>
            <xm:f>Federal!$G$2:$G$7</xm:f>
          </x14:formula1>
          <xm:sqref>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J15"/>
  <sheetViews>
    <sheetView workbookViewId="0">
      <selection activeCell="E18" sqref="E18"/>
    </sheetView>
  </sheetViews>
  <sheetFormatPr defaultRowHeight="14.4" x14ac:dyDescent="0.3"/>
  <sheetData>
    <row r="2" spans="1:10" x14ac:dyDescent="0.3">
      <c r="A2">
        <v>0</v>
      </c>
      <c r="B2">
        <v>3240</v>
      </c>
      <c r="C2">
        <f>B2*(1+0.07)^1</f>
        <v>3466.8</v>
      </c>
    </row>
    <row r="3" spans="1:10" x14ac:dyDescent="0.3">
      <c r="A3">
        <v>1</v>
      </c>
      <c r="B3">
        <f>C2+2000</f>
        <v>5466.8</v>
      </c>
      <c r="C3">
        <f>B3*(1+0.07)^1</f>
        <v>5849.4760000000006</v>
      </c>
      <c r="I3">
        <f>270*12</f>
        <v>3240</v>
      </c>
    </row>
    <row r="4" spans="1:10" x14ac:dyDescent="0.3">
      <c r="A4">
        <v>2</v>
      </c>
      <c r="B4">
        <f>C3+E4</f>
        <v>9349.4760000000006</v>
      </c>
      <c r="C4">
        <f t="shared" ref="C4:C15" si="0">B4*(1+0.07)^1</f>
        <v>10003.939320000001</v>
      </c>
      <c r="E4">
        <v>3500</v>
      </c>
    </row>
    <row r="5" spans="1:10" x14ac:dyDescent="0.3">
      <c r="A5">
        <v>3</v>
      </c>
      <c r="B5">
        <f>C4+E4</f>
        <v>13503.939320000001</v>
      </c>
      <c r="C5">
        <f t="shared" si="0"/>
        <v>14449.215072400002</v>
      </c>
      <c r="I5">
        <f>20770</f>
        <v>20770</v>
      </c>
      <c r="J5">
        <f>I5*4</f>
        <v>83080</v>
      </c>
    </row>
    <row r="6" spans="1:10" x14ac:dyDescent="0.3">
      <c r="A6">
        <v>4</v>
      </c>
      <c r="B6">
        <f>C5+E6</f>
        <v>18949.215072400002</v>
      </c>
      <c r="C6">
        <f t="shared" si="0"/>
        <v>20275.660127468003</v>
      </c>
      <c r="E6">
        <f>E4+1000</f>
        <v>4500</v>
      </c>
    </row>
    <row r="7" spans="1:10" x14ac:dyDescent="0.3">
      <c r="A7">
        <v>5</v>
      </c>
      <c r="B7">
        <f>C6+E6</f>
        <v>24775.660127468003</v>
      </c>
      <c r="C7">
        <f t="shared" si="0"/>
        <v>26509.956336390766</v>
      </c>
    </row>
    <row r="8" spans="1:10" x14ac:dyDescent="0.3">
      <c r="A8">
        <v>6</v>
      </c>
      <c r="B8">
        <f>C7+E8</f>
        <v>32009.956336390766</v>
      </c>
      <c r="C8">
        <f t="shared" si="0"/>
        <v>34250.653279938124</v>
      </c>
      <c r="E8">
        <f>E6+1000</f>
        <v>5500</v>
      </c>
    </row>
    <row r="9" spans="1:10" x14ac:dyDescent="0.3">
      <c r="A9">
        <v>7</v>
      </c>
      <c r="B9">
        <f>C8+E8</f>
        <v>39750.653279938124</v>
      </c>
      <c r="C9">
        <f t="shared" si="0"/>
        <v>42533.199009533797</v>
      </c>
    </row>
    <row r="10" spans="1:10" x14ac:dyDescent="0.3">
      <c r="A10">
        <v>8</v>
      </c>
      <c r="B10">
        <f>C9+E10</f>
        <v>49033.199009533797</v>
      </c>
      <c r="C10">
        <f t="shared" si="0"/>
        <v>52465.522940201168</v>
      </c>
      <c r="E10">
        <f>E8+1000</f>
        <v>6500</v>
      </c>
    </row>
    <row r="11" spans="1:10" x14ac:dyDescent="0.3">
      <c r="A11">
        <v>9</v>
      </c>
      <c r="B11">
        <f>C10+E10</f>
        <v>58965.522940201168</v>
      </c>
      <c r="C11">
        <f t="shared" si="0"/>
        <v>63093.10954601525</v>
      </c>
    </row>
    <row r="12" spans="1:10" x14ac:dyDescent="0.3">
      <c r="A12">
        <v>10</v>
      </c>
      <c r="B12">
        <f>C11+E12</f>
        <v>70593.109546015243</v>
      </c>
      <c r="C12">
        <f t="shared" si="0"/>
        <v>75534.627214236316</v>
      </c>
      <c r="E12">
        <f>E10+1000</f>
        <v>7500</v>
      </c>
    </row>
    <row r="13" spans="1:10" x14ac:dyDescent="0.3">
      <c r="A13">
        <v>11</v>
      </c>
      <c r="B13">
        <f>C12+E12</f>
        <v>83034.627214236316</v>
      </c>
      <c r="C13">
        <f t="shared" si="0"/>
        <v>88847.05111923287</v>
      </c>
    </row>
    <row r="14" spans="1:10" x14ac:dyDescent="0.3">
      <c r="A14">
        <v>12</v>
      </c>
      <c r="B14">
        <f>C13+E14</f>
        <v>97347.05111923287</v>
      </c>
      <c r="C14">
        <f t="shared" si="0"/>
        <v>104161.34469757917</v>
      </c>
      <c r="E14">
        <f>E12+1000</f>
        <v>8500</v>
      </c>
    </row>
    <row r="15" spans="1:10" x14ac:dyDescent="0.3">
      <c r="A15">
        <v>13</v>
      </c>
      <c r="B15">
        <f>C14+E14</f>
        <v>112661.34469757917</v>
      </c>
      <c r="C15">
        <f t="shared" si="0"/>
        <v>120547.63882640972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"/>
  <sheetViews>
    <sheetView workbookViewId="0">
      <selection activeCell="N9" sqref="N9"/>
    </sheetView>
  </sheetViews>
  <sheetFormatPr defaultRowHeight="14.4" x14ac:dyDescent="0.3"/>
  <cols>
    <col min="1" max="1" width="13.33203125" bestFit="1" customWidth="1"/>
    <col min="2" max="2" width="11.44140625" bestFit="1" customWidth="1"/>
    <col min="3" max="3" width="11.6640625" bestFit="1" customWidth="1"/>
    <col min="4" max="4" width="11.6640625" customWidth="1"/>
    <col min="7" max="7" width="12.88671875" bestFit="1" customWidth="1"/>
    <col min="8" max="8" width="10.33203125" bestFit="1" customWidth="1"/>
    <col min="11" max="11" width="11.109375" bestFit="1" customWidth="1"/>
    <col min="12" max="12" width="15" bestFit="1" customWidth="1"/>
    <col min="14" max="14" width="10.5546875" bestFit="1" customWidth="1"/>
    <col min="16" max="16" width="10.5546875" bestFit="1" customWidth="1"/>
  </cols>
  <sheetData>
    <row r="1" spans="1:17" x14ac:dyDescent="0.3">
      <c r="A1" t="s">
        <v>46</v>
      </c>
      <c r="B1" t="s">
        <v>49</v>
      </c>
      <c r="C1" t="s">
        <v>50</v>
      </c>
      <c r="D1" t="s">
        <v>26</v>
      </c>
      <c r="E1" t="s">
        <v>52</v>
      </c>
      <c r="G1" t="s">
        <v>48</v>
      </c>
      <c r="H1" t="s">
        <v>53</v>
      </c>
      <c r="L1" t="s">
        <v>56</v>
      </c>
      <c r="N1" s="9">
        <f>'Disposable Income Calculator'!J11</f>
        <v>1730.7692307692307</v>
      </c>
    </row>
    <row r="2" spans="1:17" x14ac:dyDescent="0.3">
      <c r="A2" t="s">
        <v>47</v>
      </c>
      <c r="B2" s="7">
        <v>0</v>
      </c>
      <c r="C2" s="7">
        <v>142</v>
      </c>
      <c r="D2" s="7">
        <v>0</v>
      </c>
      <c r="E2" s="8">
        <v>0</v>
      </c>
      <c r="G2">
        <v>0</v>
      </c>
      <c r="H2">
        <v>0</v>
      </c>
      <c r="L2" t="s">
        <v>46</v>
      </c>
      <c r="N2" t="str">
        <f>'Disposable Income Calculator'!D13</f>
        <v>Single</v>
      </c>
    </row>
    <row r="3" spans="1:17" x14ac:dyDescent="0.3">
      <c r="A3" t="s">
        <v>47</v>
      </c>
      <c r="B3" s="7">
        <v>142</v>
      </c>
      <c r="C3" s="7">
        <v>509</v>
      </c>
      <c r="D3" s="7">
        <v>0</v>
      </c>
      <c r="E3" s="8">
        <v>0.1</v>
      </c>
      <c r="G3">
        <v>1</v>
      </c>
      <c r="H3">
        <v>19.16</v>
      </c>
      <c r="L3" t="s">
        <v>48</v>
      </c>
      <c r="N3">
        <f>'Disposable Income Calculator'!D14</f>
        <v>0</v>
      </c>
    </row>
    <row r="4" spans="1:17" x14ac:dyDescent="0.3">
      <c r="A4" t="s">
        <v>47</v>
      </c>
      <c r="B4" s="7">
        <v>509</v>
      </c>
      <c r="C4" s="7">
        <v>1631</v>
      </c>
      <c r="D4" s="7">
        <v>36.700000000000003</v>
      </c>
      <c r="E4" s="8">
        <v>0.12</v>
      </c>
      <c r="G4">
        <v>2</v>
      </c>
      <c r="H4">
        <f>H3*G4</f>
        <v>38.32</v>
      </c>
    </row>
    <row r="5" spans="1:17" x14ac:dyDescent="0.3">
      <c r="A5" t="s">
        <v>47</v>
      </c>
      <c r="B5" s="7">
        <v>1631</v>
      </c>
      <c r="C5" s="7">
        <v>3315</v>
      </c>
      <c r="D5" s="7">
        <v>171.34</v>
      </c>
      <c r="E5" s="8">
        <v>0.22</v>
      </c>
      <c r="G5">
        <v>3</v>
      </c>
      <c r="H5">
        <f>G5*H3</f>
        <v>57.480000000000004</v>
      </c>
      <c r="K5" t="s">
        <v>47</v>
      </c>
      <c r="L5" t="s">
        <v>57</v>
      </c>
      <c r="N5">
        <f>IF(N2=A2,(IF(N1&gt;C2,(IF(N1&gt;C3,(IF(N1&gt;C4,(IF(N1&gt;C5,(IF(N1&gt;C6,(IF(N1&gt;C7,(IF(N1&gt;C8,D9,D8)),D7)),D6)),D5)),D4)),D3)),D2)),0)</f>
        <v>171.34</v>
      </c>
    </row>
    <row r="6" spans="1:17" x14ac:dyDescent="0.3">
      <c r="A6" t="s">
        <v>47</v>
      </c>
      <c r="B6" s="7">
        <v>3315</v>
      </c>
      <c r="C6" s="7">
        <v>6200</v>
      </c>
      <c r="D6" s="7">
        <v>541.82000000000005</v>
      </c>
      <c r="E6" s="8">
        <v>0.24</v>
      </c>
      <c r="G6">
        <v>4</v>
      </c>
      <c r="H6">
        <f>G6*H3</f>
        <v>76.64</v>
      </c>
      <c r="K6" t="s">
        <v>51</v>
      </c>
      <c r="L6" t="s">
        <v>58</v>
      </c>
      <c r="N6">
        <f>IF(N2=A10,(IF(N1&gt;C10,(IF(N1&gt;C11,(IF(N1&gt;C12,(IF(N1&gt;C13,(IF(N1&gt;C14,(IF(N1&gt;C15,(IF(N1&gt;C16,D17,D16)),D15)),D14)),D13)),D12)),D11)),D10)),0)</f>
        <v>0</v>
      </c>
    </row>
    <row r="7" spans="1:17" x14ac:dyDescent="0.3">
      <c r="A7" t="s">
        <v>47</v>
      </c>
      <c r="B7" s="7">
        <v>6200</v>
      </c>
      <c r="C7" s="7">
        <v>7835</v>
      </c>
      <c r="D7" s="7">
        <v>1234.22</v>
      </c>
      <c r="E7" s="8">
        <v>0.32</v>
      </c>
      <c r="G7">
        <v>5</v>
      </c>
      <c r="H7">
        <f>G7*H3</f>
        <v>95.8</v>
      </c>
    </row>
    <row r="8" spans="1:17" x14ac:dyDescent="0.3">
      <c r="A8" t="s">
        <v>47</v>
      </c>
      <c r="B8" s="7">
        <v>7835</v>
      </c>
      <c r="C8" s="7">
        <v>19373</v>
      </c>
      <c r="D8" s="7">
        <v>1757.42</v>
      </c>
      <c r="E8" s="8">
        <v>0.35</v>
      </c>
      <c r="G8">
        <v>6</v>
      </c>
      <c r="H8">
        <f>G8*H3</f>
        <v>114.96000000000001</v>
      </c>
      <c r="K8" t="s">
        <v>47</v>
      </c>
      <c r="L8" t="s">
        <v>59</v>
      </c>
      <c r="N8">
        <f>IF(N2=A2,(IF(N1&gt;C2,(IF(N1&gt;C3,(IF(N1&gt;C4,(IF(N1&gt;C5,(IF(N1&gt;C6,(IF(N1&gt;C7,(IF(N1&gt;C8,(N1-B9)*E9,(N1-B8)*E8)),(N1-B7)*E7)),(N1-B6)*E6)),(N1-B5)*E5)),(N1-B4)*E4)),(N1-B3)*E3)),(N1-B2)*E2)),0)</f>
        <v>21.949230769230759</v>
      </c>
    </row>
    <row r="9" spans="1:17" x14ac:dyDescent="0.3">
      <c r="A9" t="s">
        <v>47</v>
      </c>
      <c r="B9" s="7">
        <v>19373</v>
      </c>
      <c r="C9" s="7"/>
      <c r="D9" s="7">
        <v>5795.72</v>
      </c>
      <c r="E9" s="8">
        <v>0.37</v>
      </c>
      <c r="G9">
        <v>7</v>
      </c>
      <c r="H9">
        <f>G9*H3</f>
        <v>134.12</v>
      </c>
      <c r="K9" t="s">
        <v>51</v>
      </c>
      <c r="L9" t="s">
        <v>59</v>
      </c>
      <c r="N9">
        <f>IF(N2=A10,(IF(N1&gt;C10,(IF(N1&gt;C11,(IF(N1&gt;C12,(IF(N1&gt;C13,(IF(N1&gt;C14,(IF(N1&gt;C15,(IF(N1&gt;C16,(N1-B17)*E17,(N1-B16)*E16)),(N1-B15)*E15)),(N1-B14)*E14)),(N1-B13)*E13)),(N1-B12)*E12)),(N1-B11)*E11)),(N1-B10)*E10)),0)</f>
        <v>0</v>
      </c>
      <c r="P9" s="9"/>
      <c r="Q9" s="9"/>
    </row>
    <row r="10" spans="1:17" x14ac:dyDescent="0.3">
      <c r="A10" t="s">
        <v>51</v>
      </c>
      <c r="B10" s="7">
        <v>0</v>
      </c>
      <c r="C10" s="7">
        <v>444</v>
      </c>
      <c r="D10" s="7">
        <v>0</v>
      </c>
      <c r="E10" s="8">
        <v>0</v>
      </c>
      <c r="G10">
        <v>8</v>
      </c>
      <c r="H10">
        <f>G10*H3</f>
        <v>153.28</v>
      </c>
    </row>
    <row r="11" spans="1:17" x14ac:dyDescent="0.3">
      <c r="A11" t="s">
        <v>51</v>
      </c>
      <c r="B11" s="7">
        <v>444</v>
      </c>
      <c r="C11" s="7">
        <v>1177</v>
      </c>
      <c r="D11" s="7">
        <v>0</v>
      </c>
      <c r="E11" s="8">
        <v>0.1</v>
      </c>
      <c r="G11">
        <v>9</v>
      </c>
      <c r="H11">
        <f>G11*H3</f>
        <v>172.44</v>
      </c>
      <c r="K11" t="s">
        <v>60</v>
      </c>
      <c r="N11">
        <f>IF(N2=K5,N5+N8,N6+N9)</f>
        <v>193.28923076923076</v>
      </c>
    </row>
    <row r="12" spans="1:17" x14ac:dyDescent="0.3">
      <c r="A12" t="s">
        <v>51</v>
      </c>
      <c r="B12" s="7">
        <v>1177</v>
      </c>
      <c r="C12" s="7">
        <v>3421</v>
      </c>
      <c r="D12" s="7">
        <v>73.3</v>
      </c>
      <c r="E12" s="8">
        <v>0.12</v>
      </c>
      <c r="G12">
        <v>10</v>
      </c>
      <c r="H12">
        <f>G12*H3</f>
        <v>191.6</v>
      </c>
      <c r="K12" t="s">
        <v>61</v>
      </c>
      <c r="N12">
        <f>(N11-(VLOOKUP(N3,G2:I12,2,FALSE)))</f>
        <v>193.28923076923076</v>
      </c>
    </row>
    <row r="13" spans="1:17" x14ac:dyDescent="0.3">
      <c r="A13" t="s">
        <v>51</v>
      </c>
      <c r="B13" s="7">
        <v>3421</v>
      </c>
      <c r="C13" s="7">
        <v>6790</v>
      </c>
      <c r="D13" s="7">
        <v>342.58</v>
      </c>
      <c r="E13" s="8">
        <v>0.22</v>
      </c>
    </row>
    <row r="14" spans="1:17" x14ac:dyDescent="0.3">
      <c r="A14" t="s">
        <v>51</v>
      </c>
      <c r="B14" s="7">
        <v>6790</v>
      </c>
      <c r="C14" s="7">
        <v>12560</v>
      </c>
      <c r="D14" s="7">
        <v>1083.76</v>
      </c>
      <c r="E14" s="8">
        <v>0.24</v>
      </c>
    </row>
    <row r="15" spans="1:17" x14ac:dyDescent="0.3">
      <c r="A15" t="s">
        <v>51</v>
      </c>
      <c r="B15" s="7">
        <v>12560</v>
      </c>
      <c r="C15" s="7">
        <v>15829</v>
      </c>
      <c r="D15" s="7">
        <v>2468.56</v>
      </c>
      <c r="E15" s="8">
        <v>0.32</v>
      </c>
    </row>
    <row r="16" spans="1:17" x14ac:dyDescent="0.3">
      <c r="A16" t="s">
        <v>51</v>
      </c>
      <c r="B16" s="7">
        <v>15829</v>
      </c>
      <c r="C16" s="7">
        <v>23521</v>
      </c>
      <c r="D16" s="7">
        <v>3514.64</v>
      </c>
      <c r="E16" s="8">
        <v>0.35</v>
      </c>
    </row>
    <row r="17" spans="1:5" x14ac:dyDescent="0.3">
      <c r="A17" t="s">
        <v>51</v>
      </c>
      <c r="B17" s="7">
        <v>23521</v>
      </c>
      <c r="D17" s="7">
        <v>6206.84</v>
      </c>
      <c r="E17" s="8">
        <v>0.37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62"/>
  <sheetViews>
    <sheetView workbookViewId="0">
      <selection activeCell="L14" sqref="L14"/>
    </sheetView>
  </sheetViews>
  <sheetFormatPr defaultRowHeight="14.4" x14ac:dyDescent="0.3"/>
  <cols>
    <col min="1" max="1" width="11.44140625" bestFit="1" customWidth="1"/>
    <col min="2" max="2" width="12.5546875" bestFit="1" customWidth="1"/>
    <col min="3" max="3" width="11.6640625" customWidth="1"/>
    <col min="4" max="4" width="19.33203125" bestFit="1" customWidth="1"/>
    <col min="7" max="7" width="12.88671875" bestFit="1" customWidth="1"/>
    <col min="11" max="11" width="12.33203125" customWidth="1"/>
    <col min="12" max="12" width="11.5546875" bestFit="1" customWidth="1"/>
    <col min="14" max="14" width="10.109375" bestFit="1" customWidth="1"/>
  </cols>
  <sheetData>
    <row r="1" spans="1:18" x14ac:dyDescent="0.3">
      <c r="A1" t="s">
        <v>49</v>
      </c>
      <c r="B1" t="s">
        <v>50</v>
      </c>
      <c r="C1" t="s">
        <v>26</v>
      </c>
      <c r="E1" t="s">
        <v>52</v>
      </c>
      <c r="G1" t="s">
        <v>48</v>
      </c>
      <c r="H1" t="s">
        <v>53</v>
      </c>
      <c r="J1" t="s">
        <v>66</v>
      </c>
      <c r="L1" s="9">
        <f>'Disposable Income Calculator'!J4</f>
        <v>1730.7692307692307</v>
      </c>
      <c r="Q1" t="s">
        <v>43</v>
      </c>
      <c r="R1" t="s">
        <v>75</v>
      </c>
    </row>
    <row r="2" spans="1:18" x14ac:dyDescent="0.3">
      <c r="A2" s="7">
        <v>0</v>
      </c>
      <c r="B2" s="7">
        <v>2000</v>
      </c>
      <c r="C2" s="7">
        <v>0</v>
      </c>
      <c r="D2" s="7"/>
      <c r="E2" s="12">
        <v>0</v>
      </c>
      <c r="G2">
        <v>0</v>
      </c>
      <c r="H2">
        <v>0</v>
      </c>
      <c r="J2" t="s">
        <v>4</v>
      </c>
      <c r="L2" s="9">
        <f>L1*26</f>
        <v>45000</v>
      </c>
      <c r="R2" t="s">
        <v>76</v>
      </c>
    </row>
    <row r="3" spans="1:18" x14ac:dyDescent="0.3">
      <c r="A3" s="7">
        <v>2000</v>
      </c>
      <c r="B3" s="7">
        <v>5000</v>
      </c>
      <c r="C3" s="7">
        <v>0</v>
      </c>
      <c r="D3" s="7"/>
      <c r="E3" s="12">
        <v>2.1999999999999999E-2</v>
      </c>
      <c r="G3">
        <v>1</v>
      </c>
      <c r="H3">
        <v>110</v>
      </c>
      <c r="J3" t="s">
        <v>48</v>
      </c>
      <c r="L3">
        <f>'Disposable Income Calculator'!D17</f>
        <v>0</v>
      </c>
      <c r="R3" t="s">
        <v>77</v>
      </c>
    </row>
    <row r="4" spans="1:18" x14ac:dyDescent="0.3">
      <c r="A4" s="7">
        <v>5000</v>
      </c>
      <c r="B4" s="7">
        <v>10000</v>
      </c>
      <c r="C4" s="7">
        <v>66</v>
      </c>
      <c r="D4" s="7"/>
      <c r="E4" s="12">
        <v>3.9E-2</v>
      </c>
      <c r="G4">
        <v>2</v>
      </c>
      <c r="H4">
        <f>H3*G4</f>
        <v>220</v>
      </c>
      <c r="J4" t="s">
        <v>63</v>
      </c>
      <c r="L4" t="str">
        <f>'Disposable Income Calculator'!D13</f>
        <v>Single</v>
      </c>
    </row>
    <row r="5" spans="1:18" x14ac:dyDescent="0.3">
      <c r="A5" s="7">
        <v>10000</v>
      </c>
      <c r="B5" s="7">
        <v>20000</v>
      </c>
      <c r="C5" s="7">
        <v>261</v>
      </c>
      <c r="D5" s="7"/>
      <c r="E5" s="12">
        <v>4.8000000000000001E-2</v>
      </c>
      <c r="G5">
        <v>3</v>
      </c>
      <c r="H5">
        <f>G5*H3</f>
        <v>330</v>
      </c>
      <c r="J5" t="s">
        <v>65</v>
      </c>
      <c r="L5" s="9">
        <f>'Disposable Income Calculator'!J11*26</f>
        <v>45000</v>
      </c>
    </row>
    <row r="6" spans="1:18" x14ac:dyDescent="0.3">
      <c r="A6" s="7">
        <v>20000</v>
      </c>
      <c r="B6" s="7">
        <v>25000</v>
      </c>
      <c r="C6" s="7">
        <v>741</v>
      </c>
      <c r="D6" s="7"/>
      <c r="E6" s="12">
        <v>5.1999999999999998E-2</v>
      </c>
      <c r="G6">
        <v>4</v>
      </c>
      <c r="H6">
        <f>G6*H3</f>
        <v>440</v>
      </c>
      <c r="J6" t="s">
        <v>64</v>
      </c>
      <c r="L6" s="9">
        <f>IF(L4="Single",3250,6500)</f>
        <v>3250</v>
      </c>
    </row>
    <row r="7" spans="1:18" x14ac:dyDescent="0.3">
      <c r="A7" s="7">
        <v>25000</v>
      </c>
      <c r="B7" s="7">
        <v>60000</v>
      </c>
      <c r="C7" s="7">
        <v>1001</v>
      </c>
      <c r="D7" s="7"/>
      <c r="E7" s="12">
        <v>5.5500000000000001E-2</v>
      </c>
      <c r="G7">
        <v>5</v>
      </c>
      <c r="H7">
        <f>G7*H3</f>
        <v>550</v>
      </c>
      <c r="J7" t="s">
        <v>56</v>
      </c>
      <c r="L7" s="9">
        <f>L5-L6</f>
        <v>41750</v>
      </c>
    </row>
    <row r="8" spans="1:18" x14ac:dyDescent="0.3">
      <c r="A8" s="7">
        <v>60000</v>
      </c>
      <c r="B8" s="7"/>
      <c r="C8" s="7">
        <v>2943.5</v>
      </c>
      <c r="D8" s="7"/>
      <c r="E8" s="12">
        <v>6.6000000000000003E-2</v>
      </c>
      <c r="G8">
        <v>6</v>
      </c>
      <c r="H8">
        <f>G8*H3</f>
        <v>660</v>
      </c>
    </row>
    <row r="9" spans="1:18" x14ac:dyDescent="0.3">
      <c r="A9" s="7"/>
      <c r="B9" s="7"/>
      <c r="C9" s="7"/>
      <c r="D9" s="7"/>
      <c r="E9" s="8"/>
      <c r="G9">
        <v>7</v>
      </c>
      <c r="H9">
        <f>G9*H3</f>
        <v>770</v>
      </c>
      <c r="J9" t="s">
        <v>67</v>
      </c>
      <c r="L9" s="9">
        <f>IF(L7&gt;B2,(IF(L7&gt;B3,(IF(L7&gt;B4,(IF(L7&gt;B5,(IF(L7&gt;B6,(IF(L7&gt;B7,C8,C7)),C6)),C5)),C4)),C3)),C2)</f>
        <v>1001</v>
      </c>
    </row>
    <row r="10" spans="1:18" x14ac:dyDescent="0.3">
      <c r="A10" s="7"/>
      <c r="B10" s="7"/>
      <c r="C10" s="7"/>
      <c r="D10" s="7"/>
      <c r="E10" s="8"/>
      <c r="G10">
        <v>8</v>
      </c>
      <c r="H10">
        <f>G10*H3</f>
        <v>880</v>
      </c>
      <c r="J10" t="s">
        <v>68</v>
      </c>
      <c r="L10" s="9">
        <f>IF(L7&gt;B2,(IF(L7&gt;B3,(IF(L7&gt;B4,(IF(L7&gt;B5,(IF(L7&gt;B6,(IF(L7&gt;B7,(L7-A8)*E8,(L7-A7)*E7)),(L7-A6)*E6)),(L7-A5)*E5)),(L7-A4)*E4)),(L7-A3)*E3)),(L7-A2)*E2)</f>
        <v>929.625</v>
      </c>
      <c r="N10" s="9"/>
    </row>
    <row r="11" spans="1:18" x14ac:dyDescent="0.3">
      <c r="A11" s="7"/>
      <c r="B11" s="7"/>
      <c r="C11" s="7"/>
      <c r="D11" s="7"/>
      <c r="E11" s="8"/>
      <c r="G11">
        <v>9</v>
      </c>
      <c r="H11">
        <f>G11*H3</f>
        <v>990</v>
      </c>
    </row>
    <row r="12" spans="1:18" x14ac:dyDescent="0.3">
      <c r="A12" s="7"/>
      <c r="B12" s="7"/>
      <c r="C12" s="7"/>
      <c r="D12" s="7"/>
      <c r="E12" s="8"/>
      <c r="G12">
        <v>10</v>
      </c>
      <c r="H12">
        <f>G12*H3</f>
        <v>1100</v>
      </c>
      <c r="J12" t="s">
        <v>69</v>
      </c>
      <c r="L12" s="9">
        <f>SUM(L9:L10)</f>
        <v>1930.625</v>
      </c>
    </row>
    <row r="13" spans="1:18" x14ac:dyDescent="0.3">
      <c r="A13" s="7"/>
      <c r="B13" s="7"/>
      <c r="C13" s="7"/>
      <c r="D13" s="7"/>
      <c r="E13" s="8"/>
      <c r="J13" t="s">
        <v>70</v>
      </c>
      <c r="L13" s="9">
        <f>L3*110</f>
        <v>0</v>
      </c>
    </row>
    <row r="14" spans="1:18" x14ac:dyDescent="0.3">
      <c r="A14" s="7"/>
      <c r="B14" s="7"/>
      <c r="C14" s="7"/>
      <c r="D14" s="7"/>
      <c r="E14" s="8"/>
      <c r="J14" t="s">
        <v>71</v>
      </c>
      <c r="L14" s="9">
        <f>(L12-L13)/26</f>
        <v>74.254807692307693</v>
      </c>
    </row>
    <row r="15" spans="1:18" x14ac:dyDescent="0.3">
      <c r="A15" s="7"/>
      <c r="B15" s="7"/>
      <c r="C15" s="7"/>
      <c r="D15" s="7"/>
      <c r="E15" s="8"/>
    </row>
    <row r="16" spans="1:18" x14ac:dyDescent="0.3">
      <c r="A16" s="7"/>
      <c r="B16" s="7"/>
      <c r="C16" s="7"/>
      <c r="D16" s="7"/>
      <c r="E16" s="8"/>
    </row>
    <row r="17" spans="1:20" x14ac:dyDescent="0.3">
      <c r="A17" s="7" t="s">
        <v>47</v>
      </c>
      <c r="C17" s="7"/>
      <c r="D17" s="7"/>
      <c r="E17" s="8"/>
      <c r="G17" t="s">
        <v>51</v>
      </c>
      <c r="L17" t="s">
        <v>85</v>
      </c>
      <c r="Q17" t="s">
        <v>86</v>
      </c>
    </row>
    <row r="18" spans="1:20" x14ac:dyDescent="0.3">
      <c r="A18" t="s">
        <v>81</v>
      </c>
      <c r="B18" t="s">
        <v>82</v>
      </c>
      <c r="C18" t="s">
        <v>83</v>
      </c>
      <c r="D18" t="s">
        <v>52</v>
      </c>
    </row>
    <row r="19" spans="1:20" x14ac:dyDescent="0.3">
      <c r="A19" t="s">
        <v>75</v>
      </c>
      <c r="B19" t="s">
        <v>44</v>
      </c>
      <c r="C19">
        <v>2986</v>
      </c>
      <c r="D19">
        <f>C19/SUM(C19:C24)</f>
        <v>0.13402154398563734</v>
      </c>
      <c r="E19">
        <f>(D19-D40)/D40</f>
        <v>-1.4272890484739622E-2</v>
      </c>
      <c r="F19" t="s">
        <v>75</v>
      </c>
      <c r="G19" t="s">
        <v>44</v>
      </c>
      <c r="H19">
        <v>5474</v>
      </c>
      <c r="I19">
        <f>H19/SUM(H19:H24)</f>
        <v>0.15704613266008721</v>
      </c>
      <c r="J19">
        <f>(I19-I40)/I40</f>
        <v>1.451686940555422E-2</v>
      </c>
      <c r="K19" t="s">
        <v>75</v>
      </c>
      <c r="L19" t="s">
        <v>44</v>
      </c>
      <c r="M19">
        <v>4394</v>
      </c>
      <c r="N19">
        <f>M19/SUM(M19:M24)</f>
        <v>9.9062133645955452E-2</v>
      </c>
      <c r="O19">
        <f>(N19-N40)/N40</f>
        <v>3.1878438091802692E-2</v>
      </c>
      <c r="P19" t="s">
        <v>75</v>
      </c>
      <c r="Q19" t="s">
        <v>44</v>
      </c>
      <c r="R19">
        <v>6807</v>
      </c>
      <c r="S19">
        <f>R19/SUM(R19:R24)</f>
        <v>0.14371371265702523</v>
      </c>
      <c r="T19">
        <f>(S19-S40)/S40</f>
        <v>3.0106618811358669E-2</v>
      </c>
    </row>
    <row r="20" spans="1:20" x14ac:dyDescent="0.3">
      <c r="A20" t="s">
        <v>75</v>
      </c>
      <c r="B20" t="s">
        <v>73</v>
      </c>
      <c r="C20">
        <v>9984</v>
      </c>
      <c r="D20">
        <f>C20/SUM(C19:C24)</f>
        <v>0.44811490125673248</v>
      </c>
      <c r="E20">
        <f t="shared" ref="E20:E24" si="0">(D20-D41)/D41</f>
        <v>3.6383683803744599E-2</v>
      </c>
      <c r="F20" t="s">
        <v>75</v>
      </c>
      <c r="G20" t="s">
        <v>73</v>
      </c>
      <c r="H20">
        <v>10788</v>
      </c>
      <c r="I20">
        <f>H20/SUM(H19:H24)</f>
        <v>0.30950195088363552</v>
      </c>
      <c r="J20">
        <f t="shared" ref="J20:J24" si="1">(I20-I41)/I41</f>
        <v>-7.6618395443085513E-4</v>
      </c>
      <c r="K20" t="s">
        <v>75</v>
      </c>
      <c r="L20" t="s">
        <v>73</v>
      </c>
      <c r="M20">
        <v>12444</v>
      </c>
      <c r="N20">
        <f>M20/SUM(M19:M24)</f>
        <v>0.28054829109928758</v>
      </c>
      <c r="O20">
        <f t="shared" ref="O20:O24" si="2">(N20-N41)/N41</f>
        <v>-3.7861884938229264E-2</v>
      </c>
      <c r="P20" t="s">
        <v>75</v>
      </c>
      <c r="Q20" t="s">
        <v>73</v>
      </c>
      <c r="R20">
        <v>12444</v>
      </c>
      <c r="S20">
        <f>R20/SUM(R19:R24)</f>
        <v>0.26272564129631587</v>
      </c>
      <c r="T20">
        <f t="shared" ref="T20:T24" si="3">(S20-S41)/S41</f>
        <v>-3.9513954406672651E-2</v>
      </c>
    </row>
    <row r="21" spans="1:20" x14ac:dyDescent="0.3">
      <c r="A21" t="s">
        <v>75</v>
      </c>
      <c r="B21" t="s">
        <v>74</v>
      </c>
      <c r="C21">
        <v>2418</v>
      </c>
      <c r="D21">
        <f>C21/SUM(C19:C24)</f>
        <v>0.1085278276481149</v>
      </c>
      <c r="E21">
        <f t="shared" si="0"/>
        <v>-3.1889459460642013E-2</v>
      </c>
      <c r="F21" t="s">
        <v>75</v>
      </c>
      <c r="G21" t="s">
        <v>74</v>
      </c>
      <c r="H21">
        <v>5546</v>
      </c>
      <c r="I21">
        <f>H21/SUM(H19:H24)</f>
        <v>0.15911177415652972</v>
      </c>
      <c r="J21">
        <f t="shared" si="1"/>
        <v>-3.8047879385261964E-3</v>
      </c>
      <c r="K21" t="s">
        <v>75</v>
      </c>
      <c r="L21" t="s">
        <v>74</v>
      </c>
      <c r="M21">
        <v>7406</v>
      </c>
      <c r="N21">
        <f>M21/SUM(M19:M24)</f>
        <v>0.16696726485706556</v>
      </c>
      <c r="O21">
        <f t="shared" si="2"/>
        <v>1.3405610994283272E-2</v>
      </c>
      <c r="P21" t="s">
        <v>75</v>
      </c>
      <c r="Q21" t="s">
        <v>74</v>
      </c>
      <c r="R21">
        <v>7125</v>
      </c>
      <c r="S21">
        <f>R21/SUM(R19:R24)</f>
        <v>0.15042753087723001</v>
      </c>
      <c r="T21">
        <f t="shared" si="3"/>
        <v>1.1648471265462429E-2</v>
      </c>
    </row>
    <row r="22" spans="1:20" x14ac:dyDescent="0.3">
      <c r="A22" t="s">
        <v>75</v>
      </c>
      <c r="B22" t="s">
        <v>72</v>
      </c>
      <c r="C22">
        <v>4236</v>
      </c>
      <c r="D22">
        <f>C22/SUM(C19:C24)</f>
        <v>0.19012567324955118</v>
      </c>
      <c r="E22">
        <f t="shared" si="0"/>
        <v>-3.2095494690161493E-2</v>
      </c>
      <c r="F22" t="s">
        <v>75</v>
      </c>
      <c r="G22" t="s">
        <v>72</v>
      </c>
      <c r="H22">
        <v>8754</v>
      </c>
      <c r="I22">
        <f>H22/SUM(H19:H24)</f>
        <v>0.25114757860913473</v>
      </c>
      <c r="J22">
        <f t="shared" si="1"/>
        <v>-3.6929913870066295E-3</v>
      </c>
      <c r="K22" t="s">
        <v>75</v>
      </c>
      <c r="L22" t="s">
        <v>72</v>
      </c>
      <c r="M22">
        <v>8754</v>
      </c>
      <c r="N22">
        <f>M22/SUM(M19:M24)</f>
        <v>0.19735774190639371</v>
      </c>
      <c r="O22">
        <f t="shared" si="2"/>
        <v>1.3356949411671542E-2</v>
      </c>
      <c r="P22" t="s">
        <v>75</v>
      </c>
      <c r="Q22" t="s">
        <v>72</v>
      </c>
      <c r="R22">
        <v>9189</v>
      </c>
      <c r="S22">
        <f>R22/SUM(R19:R24)</f>
        <v>0.19400401140082341</v>
      </c>
      <c r="T22">
        <f t="shared" si="3"/>
        <v>1.1503496501129971E-2</v>
      </c>
    </row>
    <row r="23" spans="1:20" x14ac:dyDescent="0.3">
      <c r="A23" t="s">
        <v>75</v>
      </c>
      <c r="B23" t="s">
        <v>84</v>
      </c>
      <c r="C23">
        <v>0</v>
      </c>
      <c r="D23">
        <f>C23/SUM(C19:C24)</f>
        <v>0</v>
      </c>
      <c r="E23" t="e">
        <f t="shared" si="0"/>
        <v>#DIV/0!</v>
      </c>
      <c r="F23" t="s">
        <v>75</v>
      </c>
      <c r="G23" t="s">
        <v>84</v>
      </c>
      <c r="H23">
        <v>0</v>
      </c>
      <c r="I23">
        <f>H23/SUM(H19:H24)</f>
        <v>0</v>
      </c>
      <c r="J23" t="e">
        <f t="shared" si="1"/>
        <v>#DIV/0!</v>
      </c>
      <c r="K23" t="s">
        <v>75</v>
      </c>
      <c r="L23" t="s">
        <v>84</v>
      </c>
      <c r="M23">
        <v>7064</v>
      </c>
      <c r="N23">
        <f>M23/SUM(M19:M24)</f>
        <v>0.15925692127333393</v>
      </c>
      <c r="O23">
        <f t="shared" si="2"/>
        <v>1.2106260299985273E-2</v>
      </c>
      <c r="P23" t="s">
        <v>75</v>
      </c>
      <c r="Q23" t="s">
        <v>84</v>
      </c>
      <c r="R23">
        <v>7064</v>
      </c>
      <c r="S23">
        <f>R23/SUM(R19:R24)</f>
        <v>0.14913966008656182</v>
      </c>
      <c r="T23">
        <f t="shared" si="3"/>
        <v>1.0368391458405726E-2</v>
      </c>
    </row>
    <row r="24" spans="1:20" x14ac:dyDescent="0.3">
      <c r="A24" t="s">
        <v>75</v>
      </c>
      <c r="B24" t="s">
        <v>55</v>
      </c>
      <c r="C24">
        <v>2656</v>
      </c>
      <c r="D24">
        <f>C24/SUM(C19:C24)</f>
        <v>0.1192100538599641</v>
      </c>
      <c r="E24">
        <f t="shared" si="0"/>
        <v>-3.1771004854833057E-2</v>
      </c>
      <c r="F24" t="s">
        <v>75</v>
      </c>
      <c r="G24" t="s">
        <v>55</v>
      </c>
      <c r="H24">
        <v>4294</v>
      </c>
      <c r="I24">
        <f>H24/SUM(H19:H24)</f>
        <v>0.12319256369061281</v>
      </c>
      <c r="J24">
        <f t="shared" si="1"/>
        <v>-3.8107849925794854E-3</v>
      </c>
      <c r="K24" t="s">
        <v>75</v>
      </c>
      <c r="L24" t="s">
        <v>55</v>
      </c>
      <c r="M24">
        <v>4294</v>
      </c>
      <c r="N24">
        <f>M24/SUM(M19:M24)</f>
        <v>9.6807647217963741E-2</v>
      </c>
      <c r="O24">
        <f t="shared" si="2"/>
        <v>1.3237139987697374E-2</v>
      </c>
      <c r="P24" t="s">
        <v>75</v>
      </c>
      <c r="Q24" t="s">
        <v>55</v>
      </c>
      <c r="R24">
        <v>4736</v>
      </c>
      <c r="S24">
        <f>R24/SUM(R19:R24)</f>
        <v>9.9989443682043697E-2</v>
      </c>
      <c r="T24">
        <f t="shared" si="3"/>
        <v>1.1524973396349556E-2</v>
      </c>
    </row>
    <row r="25" spans="1:20" x14ac:dyDescent="0.3">
      <c r="E25">
        <f>AVERAGE(E24,E19:E22)</f>
        <v>-1.4729033137326316E-2</v>
      </c>
      <c r="J25">
        <f>AVERAGE(J24,J19:J22)</f>
        <v>4.8842422660221073E-4</v>
      </c>
      <c r="O25">
        <f>AVERAGE(O19:O24)</f>
        <v>7.6870856412018145E-3</v>
      </c>
      <c r="T25">
        <f>AVERAGE(T19:T24)</f>
        <v>5.9396661710056165E-3</v>
      </c>
    </row>
    <row r="26" spans="1:20" x14ac:dyDescent="0.3">
      <c r="A26" t="s">
        <v>76</v>
      </c>
      <c r="B26" t="s">
        <v>44</v>
      </c>
      <c r="C26">
        <v>2986</v>
      </c>
      <c r="D26">
        <f>C26/SUM(C26:C31)</f>
        <v>0.13308967730433233</v>
      </c>
      <c r="E26">
        <f>(D26-D40)/D40</f>
        <v>-2.1126760563380198E-2</v>
      </c>
      <c r="F26" t="s">
        <v>76</v>
      </c>
      <c r="G26" t="s">
        <v>44</v>
      </c>
      <c r="H26">
        <v>5474</v>
      </c>
      <c r="I26">
        <f>H26/SUM(H26:H31)</f>
        <v>0.1516175493020164</v>
      </c>
      <c r="J26">
        <f>(I26-I40)/I40</f>
        <v>-2.0551739419454908E-2</v>
      </c>
      <c r="K26" t="s">
        <v>76</v>
      </c>
      <c r="L26" t="s">
        <v>44</v>
      </c>
      <c r="M26">
        <v>4394</v>
      </c>
      <c r="N26">
        <f>M26/SUM(M26:M31)</f>
        <v>9.4608560847472226E-2</v>
      </c>
      <c r="O26">
        <f>(N26-N40)/N40</f>
        <v>-1.4512100594264056E-2</v>
      </c>
      <c r="P26" t="s">
        <v>76</v>
      </c>
      <c r="Q26" t="s">
        <v>44</v>
      </c>
      <c r="R26">
        <v>6807</v>
      </c>
      <c r="S26">
        <f>R26/SUM(R26:R31)</f>
        <v>0.1376458455503205</v>
      </c>
      <c r="T26">
        <f>(S26-S40)/S40</f>
        <v>-1.3386447738256528E-2</v>
      </c>
    </row>
    <row r="27" spans="1:20" x14ac:dyDescent="0.3">
      <c r="A27" t="s">
        <v>76</v>
      </c>
      <c r="B27" t="s">
        <v>73</v>
      </c>
      <c r="C27">
        <v>10140</v>
      </c>
      <c r="D27">
        <f>C27/SUM(C26:C31)</f>
        <v>0.45195221964699589</v>
      </c>
      <c r="E27">
        <f t="shared" ref="E27:E31" si="4">(D27-D41)/D41</f>
        <v>4.5258492827224488E-2</v>
      </c>
      <c r="F27" t="s">
        <v>76</v>
      </c>
      <c r="G27" t="s">
        <v>73</v>
      </c>
      <c r="H27">
        <v>12036</v>
      </c>
      <c r="I27">
        <f>H27/SUM(H26:H31)</f>
        <v>0.33337026368269446</v>
      </c>
      <c r="J27">
        <f t="shared" ref="J27:J31" si="5">(I27-I41)/I41</f>
        <v>7.6293185825567503E-2</v>
      </c>
      <c r="K27" t="s">
        <v>76</v>
      </c>
      <c r="L27" t="s">
        <v>73</v>
      </c>
      <c r="M27">
        <v>14532</v>
      </c>
      <c r="N27">
        <f>M27/SUM(M26:M31)</f>
        <v>0.31289294634398418</v>
      </c>
      <c r="O27">
        <f t="shared" ref="O27:O31" si="6">(N27-N41)/N41</f>
        <v>7.3063850903952898E-2</v>
      </c>
      <c r="P27" t="s">
        <v>76</v>
      </c>
      <c r="Q27" t="s">
        <v>73</v>
      </c>
      <c r="R27">
        <v>14532</v>
      </c>
      <c r="S27">
        <f>R27/SUM(R26:R31)</f>
        <v>0.29385477119689402</v>
      </c>
      <c r="T27">
        <f t="shared" ref="T27:T31" si="7">(S27-S41)/S41</f>
        <v>7.4289535551300384E-2</v>
      </c>
    </row>
    <row r="28" spans="1:20" x14ac:dyDescent="0.3">
      <c r="A28" t="s">
        <v>76</v>
      </c>
      <c r="B28" t="s">
        <v>74</v>
      </c>
      <c r="C28">
        <v>2418</v>
      </c>
      <c r="D28">
        <f>C28/SUM(C26:C31)</f>
        <v>0.10777322160812979</v>
      </c>
      <c r="E28">
        <f t="shared" si="4"/>
        <v>-3.8620839578494631E-2</v>
      </c>
      <c r="F28" t="s">
        <v>76</v>
      </c>
      <c r="G28" t="s">
        <v>74</v>
      </c>
      <c r="H28">
        <v>5546</v>
      </c>
      <c r="I28">
        <f>H28/SUM(H26:H31)</f>
        <v>0.15361178816751606</v>
      </c>
      <c r="J28">
        <f t="shared" si="5"/>
        <v>-3.8240075570165913E-2</v>
      </c>
      <c r="K28" t="s">
        <v>76</v>
      </c>
      <c r="L28" t="s">
        <v>74</v>
      </c>
      <c r="M28">
        <v>7406</v>
      </c>
      <c r="N28">
        <f>M28/SUM(M26:M31)</f>
        <v>0.15946085608474722</v>
      </c>
      <c r="O28">
        <f t="shared" si="6"/>
        <v>-3.2154438005718107E-2</v>
      </c>
      <c r="P28" t="s">
        <v>76</v>
      </c>
      <c r="Q28" t="s">
        <v>74</v>
      </c>
      <c r="R28">
        <v>7125</v>
      </c>
      <c r="S28">
        <f>R28/SUM(R26:R31)</f>
        <v>0.14407619355751927</v>
      </c>
      <c r="T28">
        <f t="shared" si="7"/>
        <v>-3.106525708271219E-2</v>
      </c>
    </row>
    <row r="29" spans="1:20" x14ac:dyDescent="0.3">
      <c r="A29" t="s">
        <v>76</v>
      </c>
      <c r="B29" t="s">
        <v>72</v>
      </c>
      <c r="C29">
        <v>4236</v>
      </c>
      <c r="D29">
        <f>C29/SUM(C26:C31)</f>
        <v>0.18880370832590479</v>
      </c>
      <c r="E29">
        <f t="shared" si="4"/>
        <v>-3.8825442222178652E-2</v>
      </c>
      <c r="F29" t="s">
        <v>76</v>
      </c>
      <c r="G29" t="s">
        <v>72</v>
      </c>
      <c r="H29">
        <v>8754</v>
      </c>
      <c r="I29">
        <f>H29/SUM(H26:H31)</f>
        <v>0.24246620873033459</v>
      </c>
      <c r="J29">
        <f t="shared" si="5"/>
        <v>-3.813214346846619E-2</v>
      </c>
      <c r="K29" t="s">
        <v>76</v>
      </c>
      <c r="L29" t="s">
        <v>72</v>
      </c>
      <c r="M29">
        <v>8754</v>
      </c>
      <c r="N29">
        <f>M29/SUM(M26:M31)</f>
        <v>0.18848505727327533</v>
      </c>
      <c r="O29">
        <f t="shared" si="6"/>
        <v>-3.2200911891652258E-2</v>
      </c>
      <c r="P29" t="s">
        <v>76</v>
      </c>
      <c r="Q29" t="s">
        <v>72</v>
      </c>
      <c r="R29">
        <v>9189</v>
      </c>
      <c r="S29">
        <f>R29/SUM(R26:R31)</f>
        <v>0.18581279194386588</v>
      </c>
      <c r="T29">
        <f t="shared" si="7"/>
        <v>-3.1204110735930799E-2</v>
      </c>
    </row>
    <row r="30" spans="1:20" x14ac:dyDescent="0.3">
      <c r="A30" t="s">
        <v>76</v>
      </c>
      <c r="B30" t="s">
        <v>84</v>
      </c>
      <c r="C30">
        <v>0</v>
      </c>
      <c r="D30">
        <f>C30/SUM(C27:C32)</f>
        <v>0</v>
      </c>
      <c r="E30" t="e">
        <f t="shared" si="4"/>
        <v>#DIV/0!</v>
      </c>
      <c r="F30" t="s">
        <v>76</v>
      </c>
      <c r="G30" t="s">
        <v>84</v>
      </c>
      <c r="H30">
        <v>0</v>
      </c>
      <c r="I30">
        <f>H30/SUM(H27:H32)</f>
        <v>0</v>
      </c>
      <c r="J30" t="e">
        <f t="shared" si="5"/>
        <v>#DIV/0!</v>
      </c>
      <c r="K30" t="s">
        <v>76</v>
      </c>
      <c r="L30" t="s">
        <v>84</v>
      </c>
      <c r="M30">
        <v>7064</v>
      </c>
      <c r="N30">
        <f>M30/SUM(M26:M31)</f>
        <v>0.1520971492550168</v>
      </c>
      <c r="O30">
        <f t="shared" si="6"/>
        <v>-3.3395373312674434E-2</v>
      </c>
      <c r="P30" t="s">
        <v>76</v>
      </c>
      <c r="Q30" t="s">
        <v>84</v>
      </c>
      <c r="R30">
        <v>7064</v>
      </c>
      <c r="S30">
        <f>R30/SUM(R26:R31)</f>
        <v>0.14284269912846542</v>
      </c>
      <c r="T30">
        <f t="shared" si="7"/>
        <v>-3.2291289478345371E-2</v>
      </c>
    </row>
    <row r="31" spans="1:20" x14ac:dyDescent="0.3">
      <c r="A31" t="s">
        <v>76</v>
      </c>
      <c r="B31" t="s">
        <v>55</v>
      </c>
      <c r="C31">
        <v>2656</v>
      </c>
      <c r="D31">
        <f>C31/SUM(C26:C31)</f>
        <v>0.11838117311463719</v>
      </c>
      <c r="E31">
        <f t="shared" si="4"/>
        <v>-3.850320860071671E-2</v>
      </c>
      <c r="F31" t="s">
        <v>76</v>
      </c>
      <c r="G31" t="s">
        <v>55</v>
      </c>
      <c r="H31">
        <v>4294</v>
      </c>
      <c r="I31">
        <f>H31/SUM(H26:H31)</f>
        <v>0.11893419011743851</v>
      </c>
      <c r="J31">
        <f t="shared" si="5"/>
        <v>-3.8245865325209127E-2</v>
      </c>
      <c r="K31" t="s">
        <v>76</v>
      </c>
      <c r="L31" t="s">
        <v>55</v>
      </c>
      <c r="M31">
        <v>4294</v>
      </c>
      <c r="N31">
        <f>M31/SUM(M26:M31)</f>
        <v>9.2455430195504257E-2</v>
      </c>
      <c r="O31">
        <f t="shared" si="6"/>
        <v>-3.2315334999261369E-2</v>
      </c>
      <c r="P31" t="s">
        <v>76</v>
      </c>
      <c r="Q31" t="s">
        <v>55</v>
      </c>
      <c r="R31">
        <v>4736</v>
      </c>
      <c r="S31">
        <f>R31/SUM(R26:R31)</f>
        <v>9.576769862293491E-2</v>
      </c>
      <c r="T31">
        <f t="shared" si="7"/>
        <v>-3.1183540636197982E-2</v>
      </c>
    </row>
    <row r="32" spans="1:20" x14ac:dyDescent="0.3">
      <c r="E32">
        <f>AVERAGE(E31,E26:E29)</f>
        <v>-1.8363551627509141E-2</v>
      </c>
      <c r="J32">
        <f>AVERAGE(J31,J26:J29)</f>
        <v>-1.1775327591545728E-2</v>
      </c>
      <c r="O32">
        <f>AVERAGE(O26:O31)</f>
        <v>-1.1919051316602888E-2</v>
      </c>
      <c r="T32">
        <f>AVERAGE(T26:T31)</f>
        <v>-1.0806851686690414E-2</v>
      </c>
    </row>
    <row r="33" spans="1:20" x14ac:dyDescent="0.3">
      <c r="A33" t="s">
        <v>77</v>
      </c>
      <c r="B33" t="s">
        <v>44</v>
      </c>
      <c r="C33">
        <v>2986</v>
      </c>
      <c r="D33">
        <f>C33/SUM(C33:C38)</f>
        <v>0.15148133116883117</v>
      </c>
      <c r="E33">
        <f>(D33-D40)/D33</f>
        <v>0.10244968582096353</v>
      </c>
      <c r="F33" t="s">
        <v>77</v>
      </c>
      <c r="G33" t="s">
        <v>44</v>
      </c>
      <c r="H33">
        <v>5474</v>
      </c>
      <c r="I33">
        <f>H33/SUM(H33:H38)</f>
        <v>0.16934785298849153</v>
      </c>
      <c r="J33">
        <f>(I33-I40)/I33</f>
        <v>8.5911430348962176E-2</v>
      </c>
      <c r="K33" t="s">
        <v>77</v>
      </c>
      <c r="L33" t="s">
        <v>44</v>
      </c>
      <c r="M33">
        <v>4394</v>
      </c>
      <c r="N33">
        <f>M33/SUM(M33:M38)</f>
        <v>0.1024433460785228</v>
      </c>
      <c r="O33">
        <f>(N33-N40)/N33</f>
        <v>6.2879615468647607E-2</v>
      </c>
      <c r="P33" t="s">
        <v>77</v>
      </c>
      <c r="Q33" t="s">
        <v>44</v>
      </c>
      <c r="R33">
        <v>6807</v>
      </c>
      <c r="S33">
        <f>R33/SUM(R33:R38)</f>
        <v>0.1482974227141021</v>
      </c>
      <c r="T33">
        <f>(S33-S40)/S33</f>
        <v>5.9232235453259903E-2</v>
      </c>
    </row>
    <row r="34" spans="1:20" x14ac:dyDescent="0.3">
      <c r="A34" t="s">
        <v>77</v>
      </c>
      <c r="B34" t="s">
        <v>73</v>
      </c>
      <c r="C34">
        <v>7416</v>
      </c>
      <c r="D34">
        <f>C34/SUM(C33:C38)</f>
        <v>0.37621753246753248</v>
      </c>
      <c r="E34">
        <f t="shared" ref="E34:E38" si="8">(D34-D41)/D34</f>
        <v>-0.14929042387326463</v>
      </c>
      <c r="F34" t="s">
        <v>77</v>
      </c>
      <c r="G34" t="s">
        <v>73</v>
      </c>
      <c r="H34">
        <v>8256</v>
      </c>
      <c r="I34">
        <f>H34/SUM(H33:H38)</f>
        <v>0.25541393391906941</v>
      </c>
      <c r="J34">
        <f t="shared" ref="J34:J38" si="9">(I34-I41)/I34</f>
        <v>-0.21269526446073381</v>
      </c>
      <c r="K34" t="s">
        <v>77</v>
      </c>
      <c r="L34" t="s">
        <v>73</v>
      </c>
      <c r="M34">
        <v>10980</v>
      </c>
      <c r="N34">
        <f>M34/SUM(M33:M38)</f>
        <v>0.25599179334141564</v>
      </c>
      <c r="O34">
        <f t="shared" ref="O34:O38" si="10">(N34-N41)/N34</f>
        <v>-0.1390536112892013</v>
      </c>
      <c r="P34" t="s">
        <v>77</v>
      </c>
      <c r="Q34" t="s">
        <v>73</v>
      </c>
      <c r="R34">
        <v>10980</v>
      </c>
      <c r="S34">
        <f>R34/SUM(R33:R38)</f>
        <v>0.23921047471732643</v>
      </c>
      <c r="T34">
        <f t="shared" ref="T34:T38" si="11">(S34-S41)/S34</f>
        <v>-0.14348693858295036</v>
      </c>
    </row>
    <row r="35" spans="1:20" x14ac:dyDescent="0.3">
      <c r="A35" t="s">
        <v>77</v>
      </c>
      <c r="B35" t="s">
        <v>74</v>
      </c>
      <c r="C35">
        <v>2418</v>
      </c>
      <c r="D35">
        <f>C35/SUM(C33:C38)</f>
        <v>0.1226663961038961</v>
      </c>
      <c r="E35">
        <f t="shared" si="8"/>
        <v>8.6117091187432535E-2</v>
      </c>
      <c r="F35" t="s">
        <v>77</v>
      </c>
      <c r="G35" t="s">
        <v>74</v>
      </c>
      <c r="H35">
        <v>5546</v>
      </c>
      <c r="I35">
        <f>H35/SUM(H33:H38)</f>
        <v>0.17157530008662294</v>
      </c>
      <c r="J35">
        <f t="shared" si="9"/>
        <v>6.9099848289026058E-2</v>
      </c>
      <c r="K35" t="s">
        <v>77</v>
      </c>
      <c r="L35" t="s">
        <v>74</v>
      </c>
      <c r="M35">
        <v>7406</v>
      </c>
      <c r="N35">
        <f>M35/SUM(M33:M38)</f>
        <v>0.17266623146507507</v>
      </c>
      <c r="O35">
        <f t="shared" si="10"/>
        <v>4.5797350830282288E-2</v>
      </c>
      <c r="P35" t="s">
        <v>77</v>
      </c>
      <c r="Q35" t="s">
        <v>74</v>
      </c>
      <c r="R35">
        <v>7125</v>
      </c>
      <c r="S35">
        <f>R35/SUM(R33:R38)</f>
        <v>0.15522537635345635</v>
      </c>
      <c r="T35">
        <f t="shared" si="11"/>
        <v>4.2067349924687719E-2</v>
      </c>
    </row>
    <row r="36" spans="1:20" x14ac:dyDescent="0.3">
      <c r="A36" t="s">
        <v>77</v>
      </c>
      <c r="B36" t="s">
        <v>72</v>
      </c>
      <c r="C36">
        <v>4236</v>
      </c>
      <c r="D36">
        <f>C36/SUM(C33:C38)</f>
        <v>0.21489448051948051</v>
      </c>
      <c r="E36">
        <f t="shared" si="8"/>
        <v>8.5922555389904773E-2</v>
      </c>
      <c r="F36" t="s">
        <v>77</v>
      </c>
      <c r="G36" t="s">
        <v>72</v>
      </c>
      <c r="H36">
        <v>8754</v>
      </c>
      <c r="I36">
        <f>H36/SUM(H33:H38)</f>
        <v>0.27082044301447838</v>
      </c>
      <c r="J36">
        <f t="shared" si="9"/>
        <v>6.9204305475285444E-2</v>
      </c>
      <c r="K36" t="s">
        <v>77</v>
      </c>
      <c r="L36" t="s">
        <v>72</v>
      </c>
      <c r="M36">
        <v>8754</v>
      </c>
      <c r="N36">
        <f>M36/SUM(M33:M38)</f>
        <v>0.2040940035437844</v>
      </c>
      <c r="O36">
        <f t="shared" si="10"/>
        <v>4.5751529847786729E-2</v>
      </c>
      <c r="P36" t="s">
        <v>77</v>
      </c>
      <c r="Q36" t="s">
        <v>72</v>
      </c>
      <c r="R36">
        <v>9189</v>
      </c>
      <c r="S36">
        <f>R36/SUM(R33:R38)</f>
        <v>0.20019171695605761</v>
      </c>
      <c r="T36">
        <f t="shared" si="11"/>
        <v>4.1930053256241745E-2</v>
      </c>
    </row>
    <row r="37" spans="1:20" x14ac:dyDescent="0.3">
      <c r="A37" t="s">
        <v>77</v>
      </c>
      <c r="B37" t="s">
        <v>84</v>
      </c>
      <c r="C37">
        <v>0</v>
      </c>
      <c r="D37">
        <f>C37/SUM(C34:C39)</f>
        <v>0</v>
      </c>
      <c r="E37" t="e">
        <f t="shared" si="8"/>
        <v>#DIV/0!</v>
      </c>
      <c r="F37" t="s">
        <v>77</v>
      </c>
      <c r="G37" t="s">
        <v>84</v>
      </c>
      <c r="H37">
        <v>0</v>
      </c>
      <c r="I37">
        <f>H37/SUM(H34:H39)</f>
        <v>0</v>
      </c>
      <c r="J37" t="e">
        <f t="shared" si="9"/>
        <v>#DIV/0!</v>
      </c>
      <c r="K37" t="s">
        <v>77</v>
      </c>
      <c r="L37" t="s">
        <v>84</v>
      </c>
      <c r="M37">
        <v>7064</v>
      </c>
      <c r="N37">
        <f>M37/SUM(M33:M38)</f>
        <v>0.16469271659050638</v>
      </c>
      <c r="O37">
        <f t="shared" si="10"/>
        <v>4.4572337288391772E-2</v>
      </c>
      <c r="P37" t="s">
        <v>77</v>
      </c>
      <c r="Q37" t="s">
        <v>84</v>
      </c>
      <c r="R37">
        <v>7064</v>
      </c>
      <c r="S37">
        <f>R37/SUM(R33:R38)</f>
        <v>0.15389642927169342</v>
      </c>
      <c r="T37">
        <f t="shared" si="11"/>
        <v>4.0853703246655874E-2</v>
      </c>
    </row>
    <row r="38" spans="1:20" x14ac:dyDescent="0.3">
      <c r="A38" t="s">
        <v>77</v>
      </c>
      <c r="B38" t="s">
        <v>55</v>
      </c>
      <c r="C38">
        <v>2656</v>
      </c>
      <c r="D38">
        <f>C38/SUM(C33:C38)</f>
        <v>0.13474025974025974</v>
      </c>
      <c r="E38">
        <f t="shared" si="8"/>
        <v>8.6228897010498962E-2</v>
      </c>
      <c r="F38" t="s">
        <v>77</v>
      </c>
      <c r="G38" t="s">
        <v>55</v>
      </c>
      <c r="H38">
        <v>4294</v>
      </c>
      <c r="I38">
        <f>H38/SUM(H33:H38)</f>
        <v>0.1328424699913377</v>
      </c>
      <c r="J38">
        <f t="shared" si="9"/>
        <v>6.9094244274804636E-2</v>
      </c>
      <c r="K38" t="s">
        <v>77</v>
      </c>
      <c r="L38" t="s">
        <v>55</v>
      </c>
      <c r="M38">
        <v>4294</v>
      </c>
      <c r="N38">
        <f>M38/SUM(M33:M38)</f>
        <v>0.1001119089806957</v>
      </c>
      <c r="O38">
        <f t="shared" si="10"/>
        <v>4.5638695492407136E-2</v>
      </c>
      <c r="P38" t="s">
        <v>77</v>
      </c>
      <c r="Q38" t="s">
        <v>55</v>
      </c>
      <c r="R38">
        <v>4736</v>
      </c>
      <c r="S38">
        <f>R38/SUM(R33:R38)</f>
        <v>0.10317857998736411</v>
      </c>
      <c r="T38">
        <f t="shared" si="11"/>
        <v>4.1950395183925723E-2</v>
      </c>
    </row>
    <row r="39" spans="1:20" x14ac:dyDescent="0.3">
      <c r="E39">
        <f>AVERAGE(E38,E33:E36)</f>
        <v>4.2285561107107038E-2</v>
      </c>
      <c r="J39">
        <f>AVERAGE(J38,J33:J36)</f>
        <v>1.6122912785468898E-2</v>
      </c>
      <c r="O39">
        <f>AVERAGE(O33:O38)</f>
        <v>1.7597652939719041E-2</v>
      </c>
      <c r="T39">
        <f>AVERAGE(T33:T38)</f>
        <v>1.3757799746970098E-2</v>
      </c>
    </row>
    <row r="40" spans="1:20" x14ac:dyDescent="0.3">
      <c r="A40" t="s">
        <v>87</v>
      </c>
      <c r="B40" t="s">
        <v>44</v>
      </c>
      <c r="C40">
        <v>2986</v>
      </c>
      <c r="D40">
        <f>C40/SUM(C40:C45)</f>
        <v>0.13596211638284308</v>
      </c>
      <c r="F40" t="s">
        <v>87</v>
      </c>
      <c r="G40" t="s">
        <v>44</v>
      </c>
      <c r="H40">
        <v>5474</v>
      </c>
      <c r="I40">
        <f>H40/SUM(H40:H45)</f>
        <v>0.15479893671172446</v>
      </c>
      <c r="K40" t="s">
        <v>87</v>
      </c>
      <c r="L40" t="s">
        <v>44</v>
      </c>
      <c r="M40">
        <v>4394</v>
      </c>
      <c r="N40">
        <f>M40/SUM(M40:M45)</f>
        <v>9.6001747869783702E-2</v>
      </c>
      <c r="P40" t="s">
        <v>87</v>
      </c>
      <c r="Q40" t="s">
        <v>44</v>
      </c>
      <c r="R40">
        <v>6807</v>
      </c>
      <c r="S40">
        <f>R40/SUM(R40:R45)</f>
        <v>0.13951343485478879</v>
      </c>
    </row>
    <row r="41" spans="1:20" x14ac:dyDescent="0.3">
      <c r="A41" t="s">
        <v>87</v>
      </c>
      <c r="B41" t="s">
        <v>73</v>
      </c>
      <c r="C41">
        <v>9496</v>
      </c>
      <c r="D41">
        <f>C41/SUM(C40:C45)</f>
        <v>0.4323832073581641</v>
      </c>
      <c r="F41" t="s">
        <v>87</v>
      </c>
      <c r="G41" t="s">
        <v>73</v>
      </c>
      <c r="H41">
        <v>10953</v>
      </c>
      <c r="I41">
        <f>H41/SUM(H40:H45)</f>
        <v>0.30973926814094227</v>
      </c>
      <c r="K41" t="s">
        <v>87</v>
      </c>
      <c r="L41" t="s">
        <v>73</v>
      </c>
      <c r="M41">
        <v>13346</v>
      </c>
      <c r="N41">
        <f>M41/SUM(M40:M45)</f>
        <v>0.2915883766659384</v>
      </c>
      <c r="P41" t="s">
        <v>87</v>
      </c>
      <c r="Q41" t="s">
        <v>73</v>
      </c>
      <c r="R41">
        <v>13346</v>
      </c>
      <c r="S41">
        <f>R41/SUM(R40:R45)</f>
        <v>0.27353405341148984</v>
      </c>
    </row>
    <row r="42" spans="1:20" x14ac:dyDescent="0.3">
      <c r="A42" t="s">
        <v>87</v>
      </c>
      <c r="B42" t="s">
        <v>74</v>
      </c>
      <c r="C42">
        <v>2462</v>
      </c>
      <c r="D42">
        <f>C42/SUM(C40:C45)</f>
        <v>0.11210272288498316</v>
      </c>
      <c r="F42" t="s">
        <v>87</v>
      </c>
      <c r="G42" t="s">
        <v>74</v>
      </c>
      <c r="H42">
        <v>5648</v>
      </c>
      <c r="I42">
        <f>H42/SUM(H40:H45)</f>
        <v>0.15971947288049318</v>
      </c>
      <c r="K42" t="s">
        <v>87</v>
      </c>
      <c r="L42" t="s">
        <v>74</v>
      </c>
      <c r="M42">
        <v>7541</v>
      </c>
      <c r="N42">
        <f>M42/SUM(M40:M45)</f>
        <v>0.1647585754861263</v>
      </c>
      <c r="P42" t="s">
        <v>87</v>
      </c>
      <c r="Q42" t="s">
        <v>74</v>
      </c>
      <c r="R42">
        <v>7255</v>
      </c>
      <c r="S42">
        <f>R42/SUM(R40:R45)</f>
        <v>0.14869545612920415</v>
      </c>
    </row>
    <row r="43" spans="1:20" x14ac:dyDescent="0.3">
      <c r="A43" t="s">
        <v>87</v>
      </c>
      <c r="B43" t="s">
        <v>72</v>
      </c>
      <c r="C43">
        <v>4314</v>
      </c>
      <c r="D43">
        <f>C43/SUM(C40:C45)</f>
        <v>0.19643019761406064</v>
      </c>
      <c r="F43" t="s">
        <v>87</v>
      </c>
      <c r="G43" t="s">
        <v>72</v>
      </c>
      <c r="H43">
        <v>8914</v>
      </c>
      <c r="I43">
        <f>H43/SUM(H40:H45)</f>
        <v>0.25207850234715229</v>
      </c>
      <c r="K43" t="s">
        <v>87</v>
      </c>
      <c r="L43" t="s">
        <v>72</v>
      </c>
      <c r="M43">
        <v>8914</v>
      </c>
      <c r="N43">
        <f>M43/SUM(M40:M45)</f>
        <v>0.19475639064889666</v>
      </c>
      <c r="P43" t="s">
        <v>87</v>
      </c>
      <c r="Q43" t="s">
        <v>72</v>
      </c>
      <c r="R43">
        <v>9358</v>
      </c>
      <c r="S43">
        <f>R43/SUM(R40:R45)</f>
        <v>0.19179766760263164</v>
      </c>
    </row>
    <row r="44" spans="1:20" x14ac:dyDescent="0.3">
      <c r="A44" t="s">
        <v>87</v>
      </c>
      <c r="B44" t="s">
        <v>84</v>
      </c>
      <c r="C44">
        <v>0</v>
      </c>
      <c r="D44">
        <f>C44/SUM(C40:C45)</f>
        <v>0</v>
      </c>
      <c r="F44" t="s">
        <v>87</v>
      </c>
      <c r="G44" t="s">
        <v>84</v>
      </c>
      <c r="H44">
        <v>0</v>
      </c>
      <c r="I44">
        <f>H44/SUM(H40:H45)</f>
        <v>0</v>
      </c>
      <c r="K44" t="s">
        <v>87</v>
      </c>
      <c r="L44" t="s">
        <v>84</v>
      </c>
      <c r="M44">
        <v>7202</v>
      </c>
      <c r="N44">
        <f>M44/SUM(M40:M45)</f>
        <v>0.15735197727769282</v>
      </c>
      <c r="P44" t="s">
        <v>87</v>
      </c>
      <c r="Q44" t="s">
        <v>84</v>
      </c>
      <c r="R44">
        <v>7202</v>
      </c>
      <c r="S44">
        <f>R44/SUM(R40:R45)</f>
        <v>0.14760919021950769</v>
      </c>
    </row>
    <row r="45" spans="1:20" x14ac:dyDescent="0.3">
      <c r="A45" t="s">
        <v>87</v>
      </c>
      <c r="B45" t="s">
        <v>55</v>
      </c>
      <c r="C45">
        <v>2704</v>
      </c>
      <c r="D45">
        <f>C45/SUM(C40:C45)</f>
        <v>0.12312175575994901</v>
      </c>
      <c r="F45" t="s">
        <v>87</v>
      </c>
      <c r="G45" t="s">
        <v>55</v>
      </c>
      <c r="H45">
        <v>4373</v>
      </c>
      <c r="I45">
        <f>H45/SUM(H40:H45)</f>
        <v>0.12366381991968781</v>
      </c>
      <c r="K45" t="s">
        <v>87</v>
      </c>
      <c r="L45" t="s">
        <v>55</v>
      </c>
      <c r="M45">
        <v>4373</v>
      </c>
      <c r="N45">
        <f>M45/SUM(M40:M45)</f>
        <v>9.5542932051562154E-2</v>
      </c>
      <c r="P45" t="s">
        <v>87</v>
      </c>
      <c r="Q45" t="s">
        <v>55</v>
      </c>
      <c r="R45">
        <v>4823</v>
      </c>
      <c r="S45">
        <f>R45/SUM(R40:R45)</f>
        <v>9.8850197782377899E-2</v>
      </c>
    </row>
    <row r="46" spans="1:20" x14ac:dyDescent="0.3">
      <c r="G46">
        <v>45000</v>
      </c>
      <c r="H46">
        <f>SUM(H40:H45)</f>
        <v>35362</v>
      </c>
      <c r="I46">
        <f>H46/G46</f>
        <v>0.7858222222222222</v>
      </c>
    </row>
    <row r="47" spans="1:20" x14ac:dyDescent="0.3">
      <c r="A47" t="s">
        <v>88</v>
      </c>
    </row>
    <row r="48" spans="1:20" x14ac:dyDescent="0.3">
      <c r="A48" t="s">
        <v>81</v>
      </c>
      <c r="B48" t="s">
        <v>89</v>
      </c>
      <c r="C48" t="s">
        <v>90</v>
      </c>
      <c r="D48" t="s">
        <v>93</v>
      </c>
      <c r="E48" t="s">
        <v>78</v>
      </c>
      <c r="G48" t="s">
        <v>91</v>
      </c>
      <c r="L48" t="s">
        <v>94</v>
      </c>
    </row>
    <row r="49" spans="1:18" x14ac:dyDescent="0.3">
      <c r="A49" t="s">
        <v>75</v>
      </c>
      <c r="B49" t="s">
        <v>47</v>
      </c>
      <c r="C49">
        <v>0</v>
      </c>
      <c r="D49" t="str">
        <f>A49&amp;B49&amp;C49</f>
        <v>KentSingle0</v>
      </c>
      <c r="E49">
        <f>1+E25</f>
        <v>0.98527096686267368</v>
      </c>
      <c r="G49" t="s">
        <v>92</v>
      </c>
      <c r="H49" t="s">
        <v>89</v>
      </c>
      <c r="I49" t="s">
        <v>90</v>
      </c>
      <c r="J49" t="s">
        <v>78</v>
      </c>
      <c r="L49" t="s">
        <v>44</v>
      </c>
      <c r="M49">
        <f>AVERAGE(D40,I40)*$I$46</f>
        <v>0.11424324843922332</v>
      </c>
      <c r="O49" t="s">
        <v>44</v>
      </c>
      <c r="P49">
        <f>AVERAGE(N40,S40)*$I$46</f>
        <v>9.253653212784814E-2</v>
      </c>
      <c r="R49" s="9">
        <f>'Disposable Income Calculator'!J25</f>
        <v>467.05088207452496</v>
      </c>
    </row>
    <row r="50" spans="1:18" x14ac:dyDescent="0.3">
      <c r="A50" t="s">
        <v>75</v>
      </c>
      <c r="B50" t="s">
        <v>47</v>
      </c>
      <c r="C50">
        <v>1</v>
      </c>
      <c r="D50" t="str">
        <f t="shared" ref="D50:D62" si="12">A50&amp;B50&amp;C50</f>
        <v>KentSingle1</v>
      </c>
      <c r="E50">
        <f>1+O25</f>
        <v>1.0076870856412019</v>
      </c>
      <c r="G50" t="e">
        <f>IF('Disposable Income Calculator'!#REF!="Kent","Kent",IF('Disposable Income Calculator'!#REF!="New Castle","New Castle",IF('Disposable Income Calculator'!#REF!="Sussex","Sussex",0)))</f>
        <v>#REF!</v>
      </c>
      <c r="H50" t="str">
        <f>'Disposable Income Calculator'!D13</f>
        <v>Single</v>
      </c>
      <c r="I50">
        <f>IF('Disposable Income Calculator'!D17&gt;0,1,0)</f>
        <v>0</v>
      </c>
      <c r="J50" t="e">
        <f>IF(G50&amp;H50&amp;I50=VLOOKUP(G50&amp;H50&amp;I50,D49:E60,1,FALSE),VLOOKUP(G50&amp;H50&amp;I50,D49:E60,2,FALSE),0)</f>
        <v>#REF!</v>
      </c>
      <c r="L50" t="s">
        <v>73</v>
      </c>
      <c r="M50">
        <f t="shared" ref="M50:M54" si="13">AVERAGE(D41,I41)*$I$46</f>
        <v>0.29158816642888219</v>
      </c>
      <c r="O50" t="s">
        <v>73</v>
      </c>
      <c r="P50">
        <f t="shared" ref="P50:P54" si="14">AVERAGE(N41,S41)*$I$46</f>
        <v>0.22204288191553351</v>
      </c>
      <c r="R50" s="9">
        <f>'Disposable Income Calculator'!J26</f>
        <v>155.05029005444999</v>
      </c>
    </row>
    <row r="51" spans="1:18" x14ac:dyDescent="0.3">
      <c r="A51" t="s">
        <v>75</v>
      </c>
      <c r="B51" t="s">
        <v>51</v>
      </c>
      <c r="C51">
        <v>0</v>
      </c>
      <c r="D51" t="str">
        <f t="shared" si="12"/>
        <v>KentMarried0</v>
      </c>
      <c r="E51">
        <f>1+J25</f>
        <v>1.0004884242266021</v>
      </c>
      <c r="L51" t="s">
        <v>74</v>
      </c>
      <c r="M51">
        <f t="shared" si="13"/>
        <v>0.10680196096287527</v>
      </c>
      <c r="O51" t="s">
        <v>74</v>
      </c>
      <c r="P51">
        <f t="shared" si="14"/>
        <v>0.12315957184423684</v>
      </c>
      <c r="R51" s="9">
        <f>'Disposable Income Calculator'!J27</f>
        <v>189.43035679905748</v>
      </c>
    </row>
    <row r="52" spans="1:18" x14ac:dyDescent="0.3">
      <c r="A52" t="s">
        <v>75</v>
      </c>
      <c r="B52" t="s">
        <v>51</v>
      </c>
      <c r="C52">
        <v>1</v>
      </c>
      <c r="D52" t="str">
        <f t="shared" si="12"/>
        <v>KentMarried1</v>
      </c>
      <c r="E52">
        <f>1+T25</f>
        <v>1.0059396661710056</v>
      </c>
      <c r="L52" t="s">
        <v>72</v>
      </c>
      <c r="M52">
        <f t="shared" si="13"/>
        <v>0.1762240516447601</v>
      </c>
      <c r="O52" t="s">
        <v>72</v>
      </c>
      <c r="P52">
        <f t="shared" si="14"/>
        <v>0.15188138453211716</v>
      </c>
      <c r="R52" s="9">
        <f>'Disposable Income Calculator'!J28</f>
        <v>99.240173486999993</v>
      </c>
    </row>
    <row r="53" spans="1:18" x14ac:dyDescent="0.3">
      <c r="A53" t="s">
        <v>76</v>
      </c>
      <c r="B53" t="s">
        <v>47</v>
      </c>
      <c r="C53">
        <v>0</v>
      </c>
      <c r="D53" t="str">
        <f t="shared" si="12"/>
        <v>New CastleSingle0</v>
      </c>
      <c r="E53">
        <f>1+E32</f>
        <v>0.98163644837249087</v>
      </c>
      <c r="L53" t="s">
        <v>84</v>
      </c>
      <c r="M53">
        <f>AVERAGE(D44,I44)*$I$46</f>
        <v>0</v>
      </c>
      <c r="O53" t="s">
        <v>84</v>
      </c>
      <c r="P53">
        <f>AVERAGE(N44,S44)*$I$46</f>
        <v>0.11982263116706671</v>
      </c>
      <c r="R53" s="9" t="e">
        <f>'Disposable Income Calculator'!#REF!</f>
        <v>#REF!</v>
      </c>
    </row>
    <row r="54" spans="1:18" x14ac:dyDescent="0.3">
      <c r="A54" t="s">
        <v>76</v>
      </c>
      <c r="B54" t="s">
        <v>47</v>
      </c>
      <c r="C54">
        <v>1</v>
      </c>
      <c r="D54" t="str">
        <f t="shared" si="12"/>
        <v>New CastleSingle1</v>
      </c>
      <c r="E54">
        <f>1+O32</f>
        <v>0.98808094868339713</v>
      </c>
      <c r="L54" t="s">
        <v>55</v>
      </c>
      <c r="M54">
        <f t="shared" si="13"/>
        <v>9.69647947464813E-2</v>
      </c>
      <c r="O54" t="s">
        <v>55</v>
      </c>
      <c r="P54">
        <f t="shared" si="14"/>
        <v>7.6379220635419867E-2</v>
      </c>
      <c r="R54" s="9">
        <f>'Disposable Income Calculator'!J30</f>
        <v>213.77039555340002</v>
      </c>
    </row>
    <row r="55" spans="1:18" x14ac:dyDescent="0.3">
      <c r="A55" t="s">
        <v>76</v>
      </c>
      <c r="B55" t="s">
        <v>51</v>
      </c>
      <c r="C55">
        <v>0</v>
      </c>
      <c r="D55" t="str">
        <f t="shared" si="12"/>
        <v>New CastleMarried0</v>
      </c>
      <c r="E55">
        <f>1+J32</f>
        <v>0.98822467240845424</v>
      </c>
      <c r="L55" t="s">
        <v>83</v>
      </c>
      <c r="M55">
        <f>I46</f>
        <v>0.7858222222222222</v>
      </c>
      <c r="P55">
        <f>I46</f>
        <v>0.7858222222222222</v>
      </c>
      <c r="R55" s="9"/>
    </row>
    <row r="56" spans="1:18" x14ac:dyDescent="0.3">
      <c r="A56" t="s">
        <v>76</v>
      </c>
      <c r="B56" t="s">
        <v>51</v>
      </c>
      <c r="C56">
        <v>1</v>
      </c>
      <c r="D56" t="str">
        <f t="shared" si="12"/>
        <v>New CastleMarried1</v>
      </c>
      <c r="E56">
        <f>1+T32</f>
        <v>0.98919314831330962</v>
      </c>
    </row>
    <row r="57" spans="1:18" x14ac:dyDescent="0.3">
      <c r="A57" t="s">
        <v>77</v>
      </c>
      <c r="B57" t="s">
        <v>47</v>
      </c>
      <c r="C57">
        <v>0</v>
      </c>
      <c r="D57" t="str">
        <f t="shared" si="12"/>
        <v>SussexSingle0</v>
      </c>
      <c r="E57">
        <f>1+E39</f>
        <v>1.0422855611071071</v>
      </c>
    </row>
    <row r="58" spans="1:18" x14ac:dyDescent="0.3">
      <c r="A58" t="s">
        <v>77</v>
      </c>
      <c r="B58" t="s">
        <v>47</v>
      </c>
      <c r="C58">
        <v>1</v>
      </c>
      <c r="D58" t="str">
        <f t="shared" si="12"/>
        <v>SussexSingle1</v>
      </c>
      <c r="E58">
        <f>1+O39</f>
        <v>1.017597652939719</v>
      </c>
    </row>
    <row r="59" spans="1:18" x14ac:dyDescent="0.3">
      <c r="A59" t="s">
        <v>77</v>
      </c>
      <c r="B59" t="s">
        <v>51</v>
      </c>
      <c r="C59">
        <v>0</v>
      </c>
      <c r="D59" t="str">
        <f t="shared" si="12"/>
        <v>SussexMarried0</v>
      </c>
      <c r="E59">
        <f>1+J39</f>
        <v>1.016122912785469</v>
      </c>
    </row>
    <row r="60" spans="1:18" x14ac:dyDescent="0.3">
      <c r="A60" t="s">
        <v>77</v>
      </c>
      <c r="B60" t="s">
        <v>51</v>
      </c>
      <c r="C60">
        <v>1</v>
      </c>
      <c r="D60" t="str">
        <f t="shared" si="12"/>
        <v>SussexMarried1</v>
      </c>
      <c r="E60">
        <f>1+T39</f>
        <v>1.01375779974697</v>
      </c>
    </row>
    <row r="61" spans="1:18" x14ac:dyDescent="0.3">
      <c r="D61" t="str">
        <f t="shared" si="12"/>
        <v/>
      </c>
    </row>
    <row r="62" spans="1:18" x14ac:dyDescent="0.3">
      <c r="D62" t="str">
        <f t="shared" si="12"/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7"/>
  <sheetViews>
    <sheetView workbookViewId="0">
      <selection activeCell="D20" sqref="D20"/>
    </sheetView>
  </sheetViews>
  <sheetFormatPr defaultRowHeight="14.4" x14ac:dyDescent="0.3"/>
  <cols>
    <col min="1" max="1" width="9.44140625" bestFit="1" customWidth="1"/>
    <col min="2" max="2" width="23.88671875" bestFit="1" customWidth="1"/>
    <col min="3" max="3" width="21.5546875" bestFit="1" customWidth="1"/>
    <col min="4" max="4" width="21.5546875" customWidth="1"/>
    <col min="5" max="5" width="17.88671875" bestFit="1" customWidth="1"/>
    <col min="6" max="6" width="10.5546875" bestFit="1" customWidth="1"/>
    <col min="10" max="10" width="26.44140625" bestFit="1" customWidth="1"/>
    <col min="11" max="11" width="11" bestFit="1" customWidth="1"/>
    <col min="12" max="12" width="16" bestFit="1" customWidth="1"/>
  </cols>
  <sheetData>
    <row r="1" spans="1:17" x14ac:dyDescent="0.3">
      <c r="A1" t="s">
        <v>17</v>
      </c>
      <c r="B1" t="s">
        <v>2</v>
      </c>
      <c r="C1" t="s">
        <v>9</v>
      </c>
      <c r="D1" t="s">
        <v>54</v>
      </c>
      <c r="E1" t="s">
        <v>3</v>
      </c>
      <c r="F1" t="s">
        <v>4</v>
      </c>
      <c r="J1" t="s">
        <v>6</v>
      </c>
      <c r="K1" t="s">
        <v>7</v>
      </c>
      <c r="L1" t="s">
        <v>8</v>
      </c>
      <c r="O1" t="s">
        <v>24</v>
      </c>
      <c r="Q1" t="s">
        <v>5</v>
      </c>
    </row>
    <row r="2" spans="1:17" x14ac:dyDescent="0.3">
      <c r="A2" t="s">
        <v>18</v>
      </c>
      <c r="B2" t="s">
        <v>5</v>
      </c>
      <c r="C2" t="s">
        <v>10</v>
      </c>
      <c r="D2" t="str">
        <f>A2&amp;B2&amp;C2</f>
        <v>HighmarkFirst State Basic Employee</v>
      </c>
      <c r="E2" s="3">
        <f>L2/2</f>
        <v>13.920000000000016</v>
      </c>
      <c r="F2" s="3">
        <f>L2*12</f>
        <v>334.08000000000038</v>
      </c>
      <c r="J2" s="3">
        <v>695.36</v>
      </c>
      <c r="K2" s="3">
        <v>667.52</v>
      </c>
      <c r="L2" s="3">
        <f>J2-K2</f>
        <v>27.840000000000032</v>
      </c>
      <c r="O2" t="s">
        <v>25</v>
      </c>
      <c r="Q2" t="s">
        <v>14</v>
      </c>
    </row>
    <row r="3" spans="1:17" x14ac:dyDescent="0.3">
      <c r="A3" t="s">
        <v>18</v>
      </c>
      <c r="B3" t="str">
        <f>B2</f>
        <v xml:space="preserve">First State Basic </v>
      </c>
      <c r="C3" t="s">
        <v>11</v>
      </c>
      <c r="D3" t="str">
        <f t="shared" ref="D3:D17" si="0">A3&amp;B3&amp;C3</f>
        <v>HighmarkFirst State Basic Employee &amp; Spouse</v>
      </c>
      <c r="E3" s="3">
        <f t="shared" ref="E3:E9" si="1">L3/2</f>
        <v>28.759999999999991</v>
      </c>
      <c r="F3" s="3">
        <f t="shared" ref="F3:F5" si="2">L3*12</f>
        <v>690.23999999999978</v>
      </c>
      <c r="J3" s="3">
        <v>1438.68</v>
      </c>
      <c r="K3" s="3">
        <v>1381.16</v>
      </c>
      <c r="L3" s="3">
        <f t="shared" ref="L3:L9" si="3">J3-K3</f>
        <v>57.519999999999982</v>
      </c>
      <c r="Q3" t="s">
        <v>15</v>
      </c>
    </row>
    <row r="4" spans="1:17" x14ac:dyDescent="0.3">
      <c r="A4" t="s">
        <v>18</v>
      </c>
      <c r="B4" t="str">
        <f t="shared" ref="B4:B5" si="4">B3</f>
        <v xml:space="preserve">First State Basic </v>
      </c>
      <c r="C4" t="s">
        <v>12</v>
      </c>
      <c r="D4" t="str">
        <f t="shared" si="0"/>
        <v>HighmarkFirst State Basic Employee &amp; Child(ren)</v>
      </c>
      <c r="E4" s="3">
        <f t="shared" si="1"/>
        <v>21.129999999999995</v>
      </c>
      <c r="F4" s="3">
        <f t="shared" si="2"/>
        <v>507.11999999999989</v>
      </c>
      <c r="J4" s="3">
        <v>1057.02</v>
      </c>
      <c r="K4" s="3">
        <v>1014.76</v>
      </c>
      <c r="L4" s="3">
        <f t="shared" si="3"/>
        <v>42.259999999999991</v>
      </c>
      <c r="Q4" t="s">
        <v>16</v>
      </c>
    </row>
    <row r="5" spans="1:17" x14ac:dyDescent="0.3">
      <c r="A5" t="s">
        <v>18</v>
      </c>
      <c r="B5" t="str">
        <f t="shared" si="4"/>
        <v xml:space="preserve">First State Basic </v>
      </c>
      <c r="C5" t="s">
        <v>13</v>
      </c>
      <c r="D5" t="str">
        <f t="shared" si="0"/>
        <v>HighmarkFirst State Basic Family</v>
      </c>
      <c r="E5" s="3">
        <f t="shared" si="1"/>
        <v>35.960000000000036</v>
      </c>
      <c r="F5" s="3">
        <f t="shared" si="2"/>
        <v>863.04000000000087</v>
      </c>
      <c r="J5" s="3">
        <v>1798.42</v>
      </c>
      <c r="K5" s="3">
        <v>1726.5</v>
      </c>
      <c r="L5" s="3">
        <f t="shared" si="3"/>
        <v>71.920000000000073</v>
      </c>
    </row>
    <row r="6" spans="1:17" x14ac:dyDescent="0.3">
      <c r="A6" t="s">
        <v>18</v>
      </c>
      <c r="B6" t="s">
        <v>14</v>
      </c>
      <c r="C6" t="s">
        <v>10</v>
      </c>
      <c r="D6" t="str">
        <f t="shared" si="0"/>
        <v>HighmarkComprehensive PPO PlanEmployee</v>
      </c>
      <c r="E6" s="3">
        <f t="shared" si="1"/>
        <v>52.590000000000032</v>
      </c>
      <c r="F6" s="3">
        <f t="shared" ref="F6:F9" si="5">L6*12</f>
        <v>1262.1600000000008</v>
      </c>
      <c r="J6" s="3">
        <v>793.86</v>
      </c>
      <c r="K6" s="3">
        <v>688.68</v>
      </c>
      <c r="L6" s="3">
        <f t="shared" si="3"/>
        <v>105.18000000000006</v>
      </c>
    </row>
    <row r="7" spans="1:17" x14ac:dyDescent="0.3">
      <c r="A7" t="s">
        <v>18</v>
      </c>
      <c r="B7" t="s">
        <v>14</v>
      </c>
      <c r="C7" t="s">
        <v>11</v>
      </c>
      <c r="D7" t="str">
        <f t="shared" si="0"/>
        <v>HighmarkComprehensive PPO PlanEmployee &amp; Spouse</v>
      </c>
      <c r="E7" s="3">
        <f t="shared" si="1"/>
        <v>109.13</v>
      </c>
      <c r="F7" s="3">
        <f t="shared" si="5"/>
        <v>2619.12</v>
      </c>
      <c r="J7" s="3">
        <v>1647.34</v>
      </c>
      <c r="K7" s="3">
        <v>1429.08</v>
      </c>
      <c r="L7" s="3">
        <f t="shared" si="3"/>
        <v>218.26</v>
      </c>
    </row>
    <row r="8" spans="1:17" x14ac:dyDescent="0.3">
      <c r="A8" t="s">
        <v>18</v>
      </c>
      <c r="B8" t="s">
        <v>14</v>
      </c>
      <c r="C8" t="s">
        <v>12</v>
      </c>
      <c r="D8" t="str">
        <f t="shared" si="0"/>
        <v>HighmarkComprehensive PPO PlanEmployee &amp; Child(ren)</v>
      </c>
      <c r="E8" s="3">
        <f t="shared" si="1"/>
        <v>81.039999999999964</v>
      </c>
      <c r="F8" s="3">
        <f t="shared" si="5"/>
        <v>1944.9599999999991</v>
      </c>
      <c r="J8" s="3">
        <v>1223.46</v>
      </c>
      <c r="K8" s="3">
        <v>1061.3800000000001</v>
      </c>
      <c r="L8" s="3">
        <f t="shared" si="3"/>
        <v>162.07999999999993</v>
      </c>
    </row>
    <row r="9" spans="1:17" x14ac:dyDescent="0.3">
      <c r="A9" t="s">
        <v>18</v>
      </c>
      <c r="B9" t="s">
        <v>14</v>
      </c>
      <c r="C9" t="s">
        <v>13</v>
      </c>
      <c r="D9" t="str">
        <f t="shared" si="0"/>
        <v>HighmarkComprehensive PPO PlanFamily</v>
      </c>
      <c r="E9" s="3">
        <f t="shared" si="1"/>
        <v>136.43000000000006</v>
      </c>
      <c r="F9" s="3">
        <f t="shared" si="5"/>
        <v>3274.3200000000015</v>
      </c>
      <c r="J9" s="3">
        <v>2059.4</v>
      </c>
      <c r="K9" s="3">
        <v>1786.54</v>
      </c>
      <c r="L9" s="3">
        <f t="shared" si="3"/>
        <v>272.86000000000013</v>
      </c>
    </row>
    <row r="10" spans="1:17" x14ac:dyDescent="0.3">
      <c r="A10" t="s">
        <v>19</v>
      </c>
      <c r="B10" t="s">
        <v>15</v>
      </c>
      <c r="C10" t="s">
        <v>10</v>
      </c>
      <c r="D10" t="str">
        <f t="shared" si="0"/>
        <v>AetnaCDH GoldEmployee</v>
      </c>
      <c r="E10" s="3">
        <f>L10/2</f>
        <v>17.989999999999952</v>
      </c>
      <c r="F10" s="3">
        <f>L10*12</f>
        <v>431.75999999999885</v>
      </c>
      <c r="J10" s="3">
        <v>719.68</v>
      </c>
      <c r="K10" s="3">
        <v>683.7</v>
      </c>
      <c r="L10" s="3">
        <f>J10-K10</f>
        <v>35.979999999999905</v>
      </c>
    </row>
    <row r="11" spans="1:17" x14ac:dyDescent="0.3">
      <c r="A11" t="s">
        <v>19</v>
      </c>
      <c r="B11" t="s">
        <v>15</v>
      </c>
      <c r="C11" t="s">
        <v>11</v>
      </c>
      <c r="D11" t="str">
        <f t="shared" si="0"/>
        <v>AetnaCDH GoldEmployee &amp; Spouse</v>
      </c>
      <c r="E11" s="3">
        <f t="shared" ref="E11:E17" si="6">L11/2</f>
        <v>37.289999999999964</v>
      </c>
      <c r="F11" s="3">
        <f t="shared" ref="F11:F17" si="7">L11*12</f>
        <v>894.95999999999913</v>
      </c>
      <c r="J11" s="3">
        <v>1492.22</v>
      </c>
      <c r="K11" s="3">
        <v>1417.64</v>
      </c>
      <c r="L11" s="3">
        <f t="shared" ref="L11:L17" si="8">J11-K11</f>
        <v>74.579999999999927</v>
      </c>
    </row>
    <row r="12" spans="1:17" x14ac:dyDescent="0.3">
      <c r="A12" t="s">
        <v>19</v>
      </c>
      <c r="B12" t="s">
        <v>15</v>
      </c>
      <c r="C12" t="s">
        <v>12</v>
      </c>
      <c r="D12" t="str">
        <f t="shared" si="0"/>
        <v>AetnaCDH GoldEmployee &amp; Child(ren)</v>
      </c>
      <c r="E12" s="3">
        <f t="shared" si="6"/>
        <v>27.480000000000018</v>
      </c>
      <c r="F12" s="3">
        <f t="shared" si="7"/>
        <v>659.52000000000044</v>
      </c>
      <c r="J12" s="3">
        <v>1099.56</v>
      </c>
      <c r="K12" s="3">
        <v>1044.5999999999999</v>
      </c>
      <c r="L12" s="3">
        <f t="shared" si="8"/>
        <v>54.960000000000036</v>
      </c>
    </row>
    <row r="13" spans="1:17" x14ac:dyDescent="0.3">
      <c r="A13" t="s">
        <v>19</v>
      </c>
      <c r="B13" t="s">
        <v>15</v>
      </c>
      <c r="C13" t="s">
        <v>13</v>
      </c>
      <c r="D13" t="str">
        <f t="shared" si="0"/>
        <v>AetnaCDH GoldFamily</v>
      </c>
      <c r="E13" s="3">
        <f t="shared" si="6"/>
        <v>47.389999999999986</v>
      </c>
      <c r="F13" s="3">
        <f t="shared" si="7"/>
        <v>1137.3599999999997</v>
      </c>
      <c r="J13" s="3">
        <v>1895.74</v>
      </c>
      <c r="K13" s="3">
        <v>1800.96</v>
      </c>
      <c r="L13" s="3">
        <f t="shared" si="8"/>
        <v>94.779999999999973</v>
      </c>
    </row>
    <row r="14" spans="1:17" x14ac:dyDescent="0.3">
      <c r="A14" t="s">
        <v>19</v>
      </c>
      <c r="B14" t="s">
        <v>16</v>
      </c>
      <c r="C14" t="s">
        <v>10</v>
      </c>
      <c r="D14" t="str">
        <f t="shared" si="0"/>
        <v>AetnaHMOEmployee</v>
      </c>
      <c r="E14" s="3">
        <f t="shared" si="6"/>
        <v>23.580000000000041</v>
      </c>
      <c r="F14" s="3">
        <f t="shared" si="7"/>
        <v>565.92000000000098</v>
      </c>
      <c r="J14" s="3">
        <v>725.94</v>
      </c>
      <c r="K14" s="3">
        <v>678.78</v>
      </c>
      <c r="L14" s="3">
        <f t="shared" si="8"/>
        <v>47.160000000000082</v>
      </c>
    </row>
    <row r="15" spans="1:17" x14ac:dyDescent="0.3">
      <c r="A15" t="s">
        <v>19</v>
      </c>
      <c r="B15" t="s">
        <v>16</v>
      </c>
      <c r="C15" t="s">
        <v>11</v>
      </c>
      <c r="D15" t="str">
        <f t="shared" si="0"/>
        <v>AetnaHMOEmployee &amp; Spouse</v>
      </c>
      <c r="E15" s="3">
        <f t="shared" si="6"/>
        <v>49.75</v>
      </c>
      <c r="F15" s="3">
        <f t="shared" si="7"/>
        <v>1194</v>
      </c>
      <c r="J15" s="3">
        <v>1530.58</v>
      </c>
      <c r="K15" s="3">
        <v>1431.08</v>
      </c>
      <c r="L15" s="3">
        <f t="shared" si="8"/>
        <v>99.5</v>
      </c>
    </row>
    <row r="16" spans="1:17" x14ac:dyDescent="0.3">
      <c r="A16" t="s">
        <v>19</v>
      </c>
      <c r="B16" t="s">
        <v>16</v>
      </c>
      <c r="C16" t="s">
        <v>12</v>
      </c>
      <c r="D16" t="str">
        <f t="shared" si="0"/>
        <v>AetnaHMOEmployee &amp; Child(ren)</v>
      </c>
      <c r="E16" s="3">
        <f t="shared" si="6"/>
        <v>36.090000000000032</v>
      </c>
      <c r="F16" s="3">
        <f t="shared" si="7"/>
        <v>866.16000000000076</v>
      </c>
      <c r="J16" s="3">
        <v>1110.52</v>
      </c>
      <c r="K16" s="3">
        <v>1038.3399999999999</v>
      </c>
      <c r="L16" s="3">
        <f t="shared" si="8"/>
        <v>72.180000000000064</v>
      </c>
    </row>
    <row r="17" spans="1:12" x14ac:dyDescent="0.3">
      <c r="A17" t="s">
        <v>19</v>
      </c>
      <c r="B17" t="s">
        <v>16</v>
      </c>
      <c r="C17" t="s">
        <v>13</v>
      </c>
      <c r="D17" t="str">
        <f t="shared" si="0"/>
        <v>AetnaHMOFamily</v>
      </c>
      <c r="E17" s="3">
        <f t="shared" si="6"/>
        <v>62.059999999999945</v>
      </c>
      <c r="F17" s="3">
        <f t="shared" si="7"/>
        <v>1489.4399999999987</v>
      </c>
      <c r="J17" s="3">
        <v>1909.82</v>
      </c>
      <c r="K17" s="3">
        <v>1785.7</v>
      </c>
      <c r="L17" s="3">
        <f t="shared" si="8"/>
        <v>124.11999999999989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0"/>
  <sheetViews>
    <sheetView workbookViewId="0">
      <selection activeCell="J10" sqref="J10"/>
    </sheetView>
  </sheetViews>
  <sheetFormatPr defaultRowHeight="14.4" x14ac:dyDescent="0.3"/>
  <cols>
    <col min="1" max="1" width="9.6640625" bestFit="1" customWidth="1"/>
    <col min="2" max="2" width="23.88671875" bestFit="1" customWidth="1"/>
    <col min="3" max="3" width="21.5546875" bestFit="1" customWidth="1"/>
    <col min="4" max="4" width="21.5546875" customWidth="1"/>
    <col min="5" max="5" width="17.88671875" bestFit="1" customWidth="1"/>
    <col min="6" max="6" width="10.5546875" bestFit="1" customWidth="1"/>
    <col min="10" max="10" width="26.44140625" bestFit="1" customWidth="1"/>
    <col min="11" max="11" width="11.5546875" bestFit="1" customWidth="1"/>
    <col min="12" max="12" width="16" bestFit="1" customWidth="1"/>
  </cols>
  <sheetData>
    <row r="1" spans="1:12" x14ac:dyDescent="0.3">
      <c r="A1" t="s">
        <v>17</v>
      </c>
      <c r="B1" t="s">
        <v>2</v>
      </c>
      <c r="C1" t="s">
        <v>9</v>
      </c>
      <c r="D1" t="s">
        <v>54</v>
      </c>
      <c r="E1" t="s">
        <v>3</v>
      </c>
      <c r="F1" t="s">
        <v>4</v>
      </c>
      <c r="J1" t="s">
        <v>6</v>
      </c>
      <c r="K1" t="s">
        <v>7</v>
      </c>
      <c r="L1" t="s">
        <v>8</v>
      </c>
    </row>
    <row r="2" spans="1:12" x14ac:dyDescent="0.3">
      <c r="A2" t="s">
        <v>20</v>
      </c>
      <c r="B2" t="s">
        <v>16</v>
      </c>
      <c r="C2" t="s">
        <v>10</v>
      </c>
      <c r="D2" t="str">
        <f>A2&amp;B2&amp;C2</f>
        <v>DominionHMOEmployee</v>
      </c>
      <c r="E2" s="3">
        <f>L2/2</f>
        <v>12.81</v>
      </c>
      <c r="F2" s="3">
        <f>L2*12</f>
        <v>307.44</v>
      </c>
      <c r="J2" s="3">
        <v>25.62</v>
      </c>
      <c r="K2" s="3">
        <v>0</v>
      </c>
      <c r="L2" s="3">
        <f>J2-K2</f>
        <v>25.62</v>
      </c>
    </row>
    <row r="3" spans="1:12" x14ac:dyDescent="0.3">
      <c r="A3" t="s">
        <v>20</v>
      </c>
      <c r="B3" t="s">
        <v>16</v>
      </c>
      <c r="C3" t="s">
        <v>11</v>
      </c>
      <c r="D3" t="str">
        <f t="shared" ref="D3:D9" si="0">A3&amp;B3&amp;C3</f>
        <v>DominionHMOEmployee &amp; Spouse</v>
      </c>
      <c r="E3" s="3">
        <f t="shared" ref="E3:E9" si="1">L3/2</f>
        <v>23.83</v>
      </c>
      <c r="F3" s="3">
        <f t="shared" ref="F3:F9" si="2">L3*12</f>
        <v>571.91999999999996</v>
      </c>
      <c r="J3" s="3">
        <v>47.66</v>
      </c>
      <c r="K3" s="3">
        <v>0</v>
      </c>
      <c r="L3" s="3">
        <f t="shared" ref="L3:L9" si="3">J3-K3</f>
        <v>47.66</v>
      </c>
    </row>
    <row r="4" spans="1:12" x14ac:dyDescent="0.3">
      <c r="A4" t="s">
        <v>20</v>
      </c>
      <c r="B4" t="s">
        <v>16</v>
      </c>
      <c r="C4" t="s">
        <v>12</v>
      </c>
      <c r="D4" t="str">
        <f t="shared" si="0"/>
        <v>DominionHMOEmployee &amp; Child(ren)</v>
      </c>
      <c r="E4" s="3">
        <f t="shared" si="1"/>
        <v>25.68</v>
      </c>
      <c r="F4" s="3">
        <f t="shared" si="2"/>
        <v>616.31999999999994</v>
      </c>
      <c r="J4" s="3">
        <v>51.36</v>
      </c>
      <c r="K4" s="3">
        <v>0</v>
      </c>
      <c r="L4" s="3">
        <f t="shared" si="3"/>
        <v>51.36</v>
      </c>
    </row>
    <row r="5" spans="1:12" x14ac:dyDescent="0.3">
      <c r="A5" t="s">
        <v>20</v>
      </c>
      <c r="B5" t="s">
        <v>16</v>
      </c>
      <c r="C5" t="s">
        <v>13</v>
      </c>
      <c r="D5" t="str">
        <f t="shared" si="0"/>
        <v>DominionHMOFamily</v>
      </c>
      <c r="E5" s="3">
        <f t="shared" si="1"/>
        <v>34.880000000000003</v>
      </c>
      <c r="F5" s="3">
        <f t="shared" si="2"/>
        <v>837.12000000000012</v>
      </c>
      <c r="J5" s="3">
        <v>69.760000000000005</v>
      </c>
      <c r="K5" s="3">
        <v>0</v>
      </c>
      <c r="L5" s="3">
        <f t="shared" si="3"/>
        <v>69.760000000000005</v>
      </c>
    </row>
    <row r="6" spans="1:12" x14ac:dyDescent="0.3">
      <c r="A6" t="s">
        <v>21</v>
      </c>
      <c r="B6" t="s">
        <v>22</v>
      </c>
      <c r="C6" t="s">
        <v>10</v>
      </c>
      <c r="D6" t="str">
        <f t="shared" si="0"/>
        <v>DeltaPPOEmployee</v>
      </c>
      <c r="E6" s="3">
        <f t="shared" si="1"/>
        <v>18.82</v>
      </c>
      <c r="F6" s="3">
        <f t="shared" si="2"/>
        <v>451.68</v>
      </c>
      <c r="J6" s="3">
        <v>37.64</v>
      </c>
      <c r="K6" s="3">
        <v>0</v>
      </c>
      <c r="L6" s="3">
        <f t="shared" si="3"/>
        <v>37.64</v>
      </c>
    </row>
    <row r="7" spans="1:12" x14ac:dyDescent="0.3">
      <c r="A7" t="s">
        <v>21</v>
      </c>
      <c r="B7" t="s">
        <v>22</v>
      </c>
      <c r="C7" t="s">
        <v>11</v>
      </c>
      <c r="D7" t="str">
        <f t="shared" si="0"/>
        <v>DeltaPPOEmployee &amp; Spouse</v>
      </c>
      <c r="E7" s="3">
        <f t="shared" si="1"/>
        <v>38.409999999999997</v>
      </c>
      <c r="F7" s="3">
        <f t="shared" si="2"/>
        <v>921.83999999999992</v>
      </c>
      <c r="J7" s="3">
        <v>76.819999999999993</v>
      </c>
      <c r="K7" s="3">
        <v>0</v>
      </c>
      <c r="L7" s="3">
        <f t="shared" si="3"/>
        <v>76.819999999999993</v>
      </c>
    </row>
    <row r="8" spans="1:12" x14ac:dyDescent="0.3">
      <c r="A8" t="s">
        <v>21</v>
      </c>
      <c r="B8" t="s">
        <v>22</v>
      </c>
      <c r="C8" t="s">
        <v>12</v>
      </c>
      <c r="D8" t="str">
        <f t="shared" si="0"/>
        <v>DeltaPPOEmployee &amp; Child(ren)</v>
      </c>
      <c r="E8" s="3">
        <f t="shared" si="1"/>
        <v>37.700000000000003</v>
      </c>
      <c r="F8" s="3">
        <f t="shared" si="2"/>
        <v>904.80000000000007</v>
      </c>
      <c r="J8" s="3">
        <v>75.400000000000006</v>
      </c>
      <c r="K8" s="3">
        <v>0</v>
      </c>
      <c r="L8" s="3">
        <f t="shared" si="3"/>
        <v>75.400000000000006</v>
      </c>
    </row>
    <row r="9" spans="1:12" x14ac:dyDescent="0.3">
      <c r="A9" t="s">
        <v>21</v>
      </c>
      <c r="B9" t="s">
        <v>22</v>
      </c>
      <c r="C9" t="s">
        <v>13</v>
      </c>
      <c r="D9" t="str">
        <f t="shared" si="0"/>
        <v>DeltaPPOFamily</v>
      </c>
      <c r="E9" s="3">
        <f t="shared" si="1"/>
        <v>62.92</v>
      </c>
      <c r="F9" s="3">
        <f t="shared" si="2"/>
        <v>1510.08</v>
      </c>
      <c r="J9" s="3">
        <v>125.84</v>
      </c>
      <c r="K9" s="3">
        <v>0</v>
      </c>
      <c r="L9" s="3">
        <f t="shared" si="3"/>
        <v>125.84</v>
      </c>
    </row>
    <row r="10" spans="1:12" x14ac:dyDescent="0.3">
      <c r="J10" s="3"/>
      <c r="K10" s="3"/>
      <c r="L10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9"/>
  <sheetViews>
    <sheetView workbookViewId="0">
      <selection activeCell="A5" sqref="A5"/>
    </sheetView>
  </sheetViews>
  <sheetFormatPr defaultRowHeight="14.4" x14ac:dyDescent="0.3"/>
  <cols>
    <col min="1" max="1" width="9.6640625" bestFit="1" customWidth="1"/>
    <col min="2" max="2" width="21.5546875" bestFit="1" customWidth="1"/>
    <col min="3" max="3" width="17.88671875" bestFit="1" customWidth="1"/>
    <col min="4" max="4" width="10.5546875" bestFit="1" customWidth="1"/>
    <col min="8" max="8" width="26.44140625" bestFit="1" customWidth="1"/>
    <col min="9" max="9" width="11" bestFit="1" customWidth="1"/>
    <col min="10" max="10" width="16" bestFit="1" customWidth="1"/>
  </cols>
  <sheetData>
    <row r="1" spans="1:10" x14ac:dyDescent="0.3">
      <c r="A1" t="s">
        <v>17</v>
      </c>
      <c r="B1" t="s">
        <v>9</v>
      </c>
      <c r="C1" t="s">
        <v>3</v>
      </c>
      <c r="D1" t="s">
        <v>4</v>
      </c>
      <c r="H1" t="s">
        <v>6</v>
      </c>
      <c r="I1" t="s">
        <v>7</v>
      </c>
      <c r="J1" t="s">
        <v>8</v>
      </c>
    </row>
    <row r="2" spans="1:10" x14ac:dyDescent="0.3">
      <c r="A2" t="s">
        <v>23</v>
      </c>
      <c r="B2" t="s">
        <v>10</v>
      </c>
      <c r="C2" s="3">
        <f>J2/2</f>
        <v>3.23</v>
      </c>
      <c r="D2" s="3">
        <f>J2*12</f>
        <v>77.52</v>
      </c>
      <c r="H2" s="3">
        <v>6.46</v>
      </c>
      <c r="I2" s="3">
        <v>0</v>
      </c>
      <c r="J2" s="3">
        <f>H2-I2</f>
        <v>6.46</v>
      </c>
    </row>
    <row r="3" spans="1:10" x14ac:dyDescent="0.3">
      <c r="A3" t="s">
        <v>23</v>
      </c>
      <c r="B3" t="s">
        <v>11</v>
      </c>
      <c r="C3" s="3">
        <f t="shared" ref="C3:C5" si="0">J3/2</f>
        <v>5.0999999999999996</v>
      </c>
      <c r="D3" s="3">
        <f t="shared" ref="D3:D5" si="1">J3*12</f>
        <v>122.39999999999999</v>
      </c>
      <c r="H3" s="3">
        <v>10.199999999999999</v>
      </c>
      <c r="I3" s="3">
        <v>0</v>
      </c>
      <c r="J3" s="3">
        <f t="shared" ref="J3:J5" si="2">H3-I3</f>
        <v>10.199999999999999</v>
      </c>
    </row>
    <row r="4" spans="1:10" x14ac:dyDescent="0.3">
      <c r="A4" t="s">
        <v>23</v>
      </c>
      <c r="B4" t="s">
        <v>12</v>
      </c>
      <c r="C4" s="3">
        <f t="shared" si="0"/>
        <v>5.2</v>
      </c>
      <c r="D4" s="3">
        <f t="shared" si="1"/>
        <v>124.80000000000001</v>
      </c>
      <c r="H4" s="3">
        <v>10.4</v>
      </c>
      <c r="I4" s="3">
        <v>0</v>
      </c>
      <c r="J4" s="3">
        <f t="shared" si="2"/>
        <v>10.4</v>
      </c>
    </row>
    <row r="5" spans="1:10" x14ac:dyDescent="0.3">
      <c r="A5" t="s">
        <v>23</v>
      </c>
      <c r="B5" t="s">
        <v>13</v>
      </c>
      <c r="C5" s="3">
        <f t="shared" si="0"/>
        <v>8.39</v>
      </c>
      <c r="D5" s="3">
        <f t="shared" si="1"/>
        <v>201.36</v>
      </c>
      <c r="H5" s="3">
        <v>16.78</v>
      </c>
      <c r="I5" s="3">
        <v>0</v>
      </c>
      <c r="J5" s="3">
        <f t="shared" si="2"/>
        <v>16.78</v>
      </c>
    </row>
    <row r="6" spans="1:10" x14ac:dyDescent="0.3">
      <c r="C6" s="3"/>
      <c r="D6" s="3"/>
      <c r="H6" s="3"/>
      <c r="I6" s="3"/>
      <c r="J6" s="3"/>
    </row>
    <row r="7" spans="1:10" x14ac:dyDescent="0.3">
      <c r="C7" s="3"/>
      <c r="D7" s="3"/>
      <c r="H7" s="3"/>
      <c r="I7" s="3"/>
      <c r="J7" s="3"/>
    </row>
    <row r="8" spans="1:10" x14ac:dyDescent="0.3">
      <c r="C8" s="3"/>
      <c r="D8" s="3"/>
      <c r="H8" s="3"/>
      <c r="I8" s="3"/>
      <c r="J8" s="3"/>
    </row>
    <row r="9" spans="1:10" x14ac:dyDescent="0.3">
      <c r="C9" s="3"/>
      <c r="D9" s="3"/>
      <c r="H9" s="3"/>
      <c r="I9" s="3"/>
      <c r="J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Disposable Income Calculator</vt:lpstr>
      <vt:lpstr>Sheet1</vt:lpstr>
      <vt:lpstr>Federal</vt:lpstr>
      <vt:lpstr>State</vt:lpstr>
      <vt:lpstr>Health</vt:lpstr>
      <vt:lpstr>Dental</vt:lpstr>
      <vt:lpstr>Vision</vt:lpstr>
    </vt:vector>
  </TitlesOfParts>
  <Company>Office of the State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2018-06-29T18:36:34Z</dcterms:created>
  <dcterms:modified xsi:type="dcterms:W3CDTF">2019-04-09T16:08:14Z</dcterms:modified>
</cp:coreProperties>
</file>